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7\Planfin 2567\ตารางวิกฤติทางการเงิน 2567\"/>
    </mc:Choice>
  </mc:AlternateContent>
  <xr:revisionPtr revIDLastSave="0" documentId="13_ncr:1_{2F84808A-B820-4D45-9A35-01A07D850CB2}" xr6:coauthVersionLast="47" xr6:coauthVersionMax="47" xr10:uidLastSave="{00000000-0000-0000-0000-000000000000}"/>
  <bookViews>
    <workbookView xWindow="-120" yWindow="-120" windowWidth="29040" windowHeight="15720" tabRatio="849" firstSheet="1" activeTab="8" xr2:uid="{00000000-000D-0000-FFFF-FFFF00000000}"/>
  </bookViews>
  <sheets>
    <sheet name="ต.ค.66" sheetId="20" r:id="rId1"/>
    <sheet name="พ.ย.66" sheetId="22" r:id="rId2"/>
    <sheet name="ธ.ค.66" sheetId="23" r:id="rId3"/>
    <sheet name="ม.ค.67" sheetId="24" r:id="rId4"/>
    <sheet name="ก.พ.67" sheetId="25" r:id="rId5"/>
    <sheet name="มี.ค.67" sheetId="26" r:id="rId6"/>
    <sheet name="เม.ย.67" sheetId="27" r:id="rId7"/>
    <sheet name="พ.ค.67" sheetId="28" r:id="rId8"/>
    <sheet name="มิ.ย.67" sheetId="29" r:id="rId9"/>
    <sheet name="ก.ค.67" sheetId="30" r:id="rId10"/>
    <sheet name="ส.ค.67" sheetId="31" r:id="rId11"/>
    <sheet name="ก.ย.67 " sheetId="32" r:id="rId12"/>
    <sheet name="Sheet2" sheetId="35" r:id="rId13"/>
    <sheet name="Sheet3" sheetId="46" r:id="rId14"/>
  </sheets>
  <definedNames>
    <definedName name="_xlnm.Print_Area" localSheetId="7">'พ.ค.67'!$C$1:$Q$21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25" l="1"/>
  <c r="K9" i="25"/>
  <c r="M19" i="26" l="1"/>
  <c r="L19" i="25"/>
  <c r="H21" i="26"/>
  <c r="M19" i="25"/>
  <c r="M11" i="31" l="1"/>
  <c r="K11" i="31"/>
  <c r="I21" i="28" l="1"/>
  <c r="P21" i="28"/>
  <c r="Q21" i="28"/>
  <c r="H21" i="28"/>
  <c r="M19" i="28"/>
  <c r="Q21" i="27"/>
  <c r="H21" i="27"/>
  <c r="Q21" i="26"/>
  <c r="P21" i="26"/>
  <c r="I21" i="26"/>
  <c r="G5" i="24"/>
  <c r="J5" i="24"/>
  <c r="K5" i="24"/>
  <c r="L5" i="24" s="1"/>
  <c r="M5" i="24"/>
  <c r="G6" i="24"/>
  <c r="J6" i="24"/>
  <c r="K6" i="24"/>
  <c r="L6" i="24" s="1"/>
  <c r="M6" i="24"/>
  <c r="G7" i="24"/>
  <c r="J7" i="24"/>
  <c r="K7" i="24"/>
  <c r="L7" i="24"/>
  <c r="M7" i="24"/>
  <c r="G5" i="20"/>
  <c r="J5" i="20"/>
  <c r="K5" i="20"/>
  <c r="L5" i="20" s="1"/>
  <c r="M5" i="20"/>
  <c r="G6" i="20"/>
  <c r="J6" i="20"/>
  <c r="K6" i="20"/>
  <c r="L6" i="20" s="1"/>
  <c r="M6" i="20"/>
  <c r="G7" i="20"/>
  <c r="J7" i="20"/>
  <c r="K7" i="20"/>
  <c r="L7" i="20" s="1"/>
  <c r="M7" i="20"/>
  <c r="N5" i="20" l="1"/>
  <c r="N7" i="24"/>
  <c r="N5" i="24"/>
  <c r="N7" i="20"/>
  <c r="N6" i="24"/>
  <c r="N6" i="20"/>
  <c r="G5" i="32"/>
  <c r="J5" i="32"/>
  <c r="K5" i="32"/>
  <c r="L5" i="32"/>
  <c r="M5" i="32"/>
  <c r="G6" i="32"/>
  <c r="J6" i="32"/>
  <c r="K6" i="32"/>
  <c r="L6" i="32" s="1"/>
  <c r="M6" i="32"/>
  <c r="G7" i="32"/>
  <c r="J7" i="32"/>
  <c r="K7" i="32"/>
  <c r="L7" i="32" s="1"/>
  <c r="M7" i="32"/>
  <c r="N5" i="32" l="1"/>
  <c r="N6" i="32"/>
  <c r="N7" i="32"/>
  <c r="K6" i="22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K8" i="32"/>
  <c r="L8" i="32" s="1"/>
  <c r="K9" i="32"/>
  <c r="L9" i="32" s="1"/>
  <c r="K10" i="32"/>
  <c r="L10" i="32" s="1"/>
  <c r="K11" i="32"/>
  <c r="L11" i="32" s="1"/>
  <c r="K12" i="32"/>
  <c r="L12" i="32" s="1"/>
  <c r="K13" i="32"/>
  <c r="L13" i="32" s="1"/>
  <c r="K14" i="32"/>
  <c r="L14" i="32" s="1"/>
  <c r="K15" i="32"/>
  <c r="L15" i="32" s="1"/>
  <c r="K16" i="32"/>
  <c r="L16" i="32" s="1"/>
  <c r="K17" i="32"/>
  <c r="L17" i="32" s="1"/>
  <c r="K18" i="32"/>
  <c r="L18" i="32" s="1"/>
  <c r="K19" i="32"/>
  <c r="L19" i="32" s="1"/>
  <c r="K20" i="32"/>
  <c r="L20" i="32" s="1"/>
  <c r="M21" i="32"/>
  <c r="J20" i="32"/>
  <c r="G20" i="32"/>
  <c r="J19" i="32"/>
  <c r="G19" i="32"/>
  <c r="J18" i="32"/>
  <c r="G18" i="32"/>
  <c r="J17" i="32"/>
  <c r="G17" i="32"/>
  <c r="J16" i="32"/>
  <c r="G16" i="32"/>
  <c r="J15" i="32"/>
  <c r="G15" i="32"/>
  <c r="J14" i="32"/>
  <c r="G14" i="32"/>
  <c r="J13" i="32"/>
  <c r="G13" i="32"/>
  <c r="J12" i="32"/>
  <c r="G12" i="32"/>
  <c r="J11" i="32"/>
  <c r="G11" i="32"/>
  <c r="J10" i="32"/>
  <c r="G10" i="32"/>
  <c r="J9" i="32"/>
  <c r="G9" i="32"/>
  <c r="J8" i="32"/>
  <c r="G8" i="32"/>
  <c r="M20" i="31"/>
  <c r="M19" i="31"/>
  <c r="M18" i="31"/>
  <c r="M17" i="31"/>
  <c r="M16" i="31"/>
  <c r="M15" i="31"/>
  <c r="M14" i="31"/>
  <c r="M13" i="31"/>
  <c r="M12" i="31"/>
  <c r="M10" i="31"/>
  <c r="M9" i="31"/>
  <c r="M8" i="31"/>
  <c r="M7" i="31"/>
  <c r="M6" i="31"/>
  <c r="M5" i="31"/>
  <c r="K20" i="31"/>
  <c r="L20" i="31" s="1"/>
  <c r="K19" i="31"/>
  <c r="L19" i="31" s="1"/>
  <c r="K18" i="31"/>
  <c r="L18" i="31" s="1"/>
  <c r="K17" i="31"/>
  <c r="L17" i="31" s="1"/>
  <c r="K16" i="31"/>
  <c r="L16" i="31" s="1"/>
  <c r="K15" i="31"/>
  <c r="L15" i="31" s="1"/>
  <c r="K14" i="31"/>
  <c r="L14" i="31" s="1"/>
  <c r="K13" i="31"/>
  <c r="L13" i="31" s="1"/>
  <c r="K12" i="31"/>
  <c r="L12" i="31" s="1"/>
  <c r="K10" i="31"/>
  <c r="L10" i="31" s="1"/>
  <c r="K9" i="31"/>
  <c r="L9" i="31" s="1"/>
  <c r="K8" i="31"/>
  <c r="L8" i="31" s="1"/>
  <c r="K7" i="31"/>
  <c r="L7" i="31" s="1"/>
  <c r="K6" i="31"/>
  <c r="L6" i="31" s="1"/>
  <c r="K5" i="31"/>
  <c r="L5" i="31" s="1"/>
  <c r="M21" i="31"/>
  <c r="J20" i="31"/>
  <c r="G20" i="31"/>
  <c r="J19" i="31"/>
  <c r="G19" i="31"/>
  <c r="J18" i="31"/>
  <c r="G18" i="31"/>
  <c r="J17" i="31"/>
  <c r="G17" i="31"/>
  <c r="J16" i="31"/>
  <c r="G16" i="31"/>
  <c r="J15" i="31"/>
  <c r="G15" i="31"/>
  <c r="J14" i="31"/>
  <c r="G14" i="31"/>
  <c r="J13" i="31"/>
  <c r="G13" i="31"/>
  <c r="J12" i="31"/>
  <c r="G12" i="31"/>
  <c r="L11" i="31"/>
  <c r="J11" i="31"/>
  <c r="G11" i="31"/>
  <c r="N11" i="31" s="1"/>
  <c r="J10" i="31"/>
  <c r="G10" i="31"/>
  <c r="J9" i="31"/>
  <c r="G9" i="31"/>
  <c r="J8" i="31"/>
  <c r="G8" i="31"/>
  <c r="J7" i="31"/>
  <c r="G7" i="31"/>
  <c r="J6" i="31"/>
  <c r="G6" i="31"/>
  <c r="J5" i="31"/>
  <c r="G5" i="31"/>
  <c r="N16" i="32" l="1"/>
  <c r="N12" i="32"/>
  <c r="N16" i="31"/>
  <c r="O16" i="32" s="1"/>
  <c r="N20" i="32"/>
  <c r="N18" i="32"/>
  <c r="N17" i="32"/>
  <c r="N15" i="32"/>
  <c r="N14" i="32"/>
  <c r="N13" i="32"/>
  <c r="N11" i="32"/>
  <c r="N10" i="32"/>
  <c r="N9" i="32"/>
  <c r="N8" i="32"/>
  <c r="N20" i="31"/>
  <c r="O20" i="32" s="1"/>
  <c r="N19" i="31"/>
  <c r="O19" i="32" s="1"/>
  <c r="N18" i="31"/>
  <c r="O18" i="32" s="1"/>
  <c r="N17" i="31"/>
  <c r="O17" i="32" s="1"/>
  <c r="N15" i="31"/>
  <c r="O15" i="32" s="1"/>
  <c r="N14" i="31"/>
  <c r="O14" i="32" s="1"/>
  <c r="N13" i="31"/>
  <c r="O13" i="32" s="1"/>
  <c r="N12" i="31"/>
  <c r="O12" i="32" s="1"/>
  <c r="O11" i="32"/>
  <c r="N10" i="31"/>
  <c r="O10" i="32" s="1"/>
  <c r="N9" i="31"/>
  <c r="O9" i="32" s="1"/>
  <c r="N8" i="31"/>
  <c r="O8" i="32" s="1"/>
  <c r="N7" i="31"/>
  <c r="O7" i="32" s="1"/>
  <c r="N6" i="31"/>
  <c r="O6" i="32" s="1"/>
  <c r="N5" i="31"/>
  <c r="O5" i="32" s="1"/>
  <c r="N19" i="32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20" i="28"/>
  <c r="M5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20" i="25"/>
  <c r="M5" i="25"/>
  <c r="M21" i="25"/>
  <c r="L20" i="25"/>
  <c r="J20" i="25"/>
  <c r="G20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L21" i="28" l="1"/>
  <c r="N8" i="24"/>
  <c r="O8" i="25" s="1"/>
  <c r="N17" i="27"/>
  <c r="O17" i="28" s="1"/>
  <c r="N15" i="26"/>
  <c r="O15" i="27" s="1"/>
  <c r="N9" i="30"/>
  <c r="O9" i="31" s="1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O7" i="25"/>
  <c r="O6" i="25"/>
  <c r="O5" i="25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5" i="24" l="1"/>
  <c r="O20" i="31"/>
  <c r="O19" i="31"/>
  <c r="O18" i="31"/>
  <c r="O17" i="31"/>
  <c r="O16" i="31"/>
  <c r="O15" i="31"/>
  <c r="O14" i="31"/>
  <c r="O13" i="31"/>
  <c r="O12" i="31"/>
  <c r="O11" i="31"/>
  <c r="O10" i="31"/>
  <c r="O8" i="31"/>
  <c r="O7" i="31"/>
  <c r="O6" i="31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L6" i="22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5" i="22" s="1"/>
  <c r="O5" i="23" l="1"/>
  <c r="N18" i="22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O6" i="22"/>
  <c r="N14" i="20" l="1"/>
  <c r="O14" i="22" s="1"/>
  <c r="N11" i="20"/>
  <c r="O11" i="22" s="1"/>
  <c r="O7" i="22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O5" i="22"/>
</calcChain>
</file>

<file path=xl/sharedStrings.xml><?xml version="1.0" encoding="utf-8"?>
<sst xmlns="http://schemas.openxmlformats.org/spreadsheetml/2006/main" count="959" uniqueCount="161">
  <si>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</si>
  <si>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</si>
  <si>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</si>
  <si>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</si>
  <si>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</si>
  <si>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</si>
  <si>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</si>
  <si>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</si>
  <si>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</si>
  <si>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</si>
  <si>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</si>
  <si>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</si>
  <si>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</si>
  <si>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</si>
  <si>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</si>
  <si>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</si>
  <si>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</si>
  <si>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</si>
  <si>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</si>
  <si>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</si>
  <si>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</si>
  <si>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</si>
  <si>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</si>
  <si>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</si>
  <si>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</si>
  <si>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</si>
  <si>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</si>
  <si>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</si>
  <si>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</si>
  <si>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</si>
  <si>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</si>
  <si>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</si>
  <si>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</si>
  <si>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</si>
  <si>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</si>
  <si>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</si>
  <si>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</si>
  <si>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</si>
  <si>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</si>
  <si>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</si>
  <si>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</si>
  <si>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</si>
  <si>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</si>
  <si>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</si>
  <si>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</si>
  <si>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</si>
  <si>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</si>
  <si>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</si>
  <si>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</si>
  <si>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</si>
  <si>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</si>
  <si>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</si>
  <si>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</si>
  <si>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</si>
  <si>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</si>
  <si>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</si>
  <si>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</si>
  <si>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เงินบำรุงคงเหลือหักหนี้แล้ว</t>
  </si>
  <si>
    <t>Risk Scoring มิ.ย.66</t>
  </si>
  <si>
    <t>Risk Scoring เดือน พ.ค.66</t>
  </si>
  <si>
    <t xml:space="preserve">เงินบำรุงคงเหลือหักหนี้แล้ว </t>
  </si>
  <si>
    <t xml:space="preserve">CR
</t>
  </si>
  <si>
    <t xml:space="preserve">QR
</t>
  </si>
  <si>
    <t xml:space="preserve">Cash
</t>
  </si>
  <si>
    <r>
      <t xml:space="preserve">CR
</t>
    </r>
    <r>
      <rPr>
        <sz val="18"/>
        <color rgb="FF000000"/>
        <rFont val="Juice ITC"/>
        <family val="5"/>
      </rPr>
      <t xml:space="preserve">≥ </t>
    </r>
    <r>
      <rPr>
        <sz val="18"/>
        <color rgb="FF000000"/>
        <rFont val="TH SarabunPSK"/>
        <family val="2"/>
      </rPr>
      <t>1.50</t>
    </r>
  </si>
  <si>
    <r>
      <t xml:space="preserve">QR
</t>
    </r>
    <r>
      <rPr>
        <sz val="18"/>
        <color rgb="FF000000"/>
        <rFont val="Juice ITC"/>
        <family val="5"/>
      </rPr>
      <t>≥</t>
    </r>
    <r>
      <rPr>
        <sz val="18"/>
        <color rgb="FF000000"/>
        <rFont val="TH SarabunPSK"/>
        <family val="2"/>
      </rPr>
      <t xml:space="preserve"> 1.00</t>
    </r>
  </si>
  <si>
    <r>
      <t xml:space="preserve">Cash
</t>
    </r>
    <r>
      <rPr>
        <sz val="18"/>
        <color rgb="FF000000"/>
        <rFont val="Juice ITC"/>
        <family val="5"/>
      </rPr>
      <t>≥</t>
    </r>
    <r>
      <rPr>
        <sz val="12.6"/>
        <color rgb="FF000000"/>
        <rFont val="TH SarabunPSK"/>
        <family val="2"/>
      </rPr>
      <t xml:space="preserve"> </t>
    </r>
    <r>
      <rPr>
        <sz val="18"/>
        <color rgb="FF000000"/>
        <rFont val="TH SarabunPSK"/>
        <family val="2"/>
      </rPr>
      <t>0.80</t>
    </r>
  </si>
  <si>
    <t xml:space="preserve">NI </t>
  </si>
  <si>
    <t>อยุธยา</t>
  </si>
  <si>
    <t>เสนา</t>
  </si>
  <si>
    <t>ท่าเรือ</t>
  </si>
  <si>
    <t>สมเด็จฯ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</si>
  <si>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</si>
  <si>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</si>
  <si>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</si>
  <si>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</si>
  <si>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</si>
  <si>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</si>
  <si>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วังน้อย</t>
  </si>
  <si>
    <t>บางซ้าย</t>
  </si>
  <si>
    <t>อุทัย</t>
  </si>
  <si>
    <t>มหาราช</t>
  </si>
  <si>
    <t>บ้านแพรก</t>
  </si>
  <si>
    <t>รวม</t>
  </si>
  <si>
    <t>ผลการประเมินภาวะวิกฤติ เดือน ตุลาคม 2566</t>
  </si>
  <si>
    <t>Risk Scoring ต.ค.66</t>
  </si>
  <si>
    <t>Risk Scoring เดือน ก.ย.66</t>
  </si>
  <si>
    <t>ผลการประเมินภาวะวิกฤติ เดือน พฤศจิกายน 2566</t>
  </si>
  <si>
    <t>Risk Scoring พ.ย.66</t>
  </si>
  <si>
    <t>Risk Scoring เดือน ต.ค.66</t>
  </si>
  <si>
    <t>ผลการประเมินภาวะวิกฤติ เดือน ธันวาคม  2566</t>
  </si>
  <si>
    <t>Risk Scoring ธ.ค.66</t>
  </si>
  <si>
    <t>Risk Scoring เดือน พ.ย.66</t>
  </si>
  <si>
    <t>ผลการประเมินภาวะวิกฤติ เดือน มกราคม ปีงบประมาณ 2567</t>
  </si>
  <si>
    <t>Risk Scoring ม.ค.67</t>
  </si>
  <si>
    <t>Risk Scoring เดือน ธ.ค.66</t>
  </si>
  <si>
    <t>ผลการประเมินภาวะวิกฤติ เดือน กุมภาพันธ์ ปีงบประมาณ 2567</t>
  </si>
  <si>
    <t>Risk Scoring ก.พ.67</t>
  </si>
  <si>
    <t>Risk Scoring เดือน ม.ค.67</t>
  </si>
  <si>
    <t>ผลการประเมินภาวะวิกฤติ เดือน มีนาคม ปีงบประมาณ 2567</t>
  </si>
  <si>
    <t>Risk Scoring มี.ค.67</t>
  </si>
  <si>
    <t>Risk Scoring เดือน ก.พ.67</t>
  </si>
  <si>
    <t>ผลการประเมินภาวะวิกฤติ เดือน เมษายน ปีงบประมาณ 2567</t>
  </si>
  <si>
    <t>Risk Scoring เม.ย.67</t>
  </si>
  <si>
    <t>Risk Scoring เดือน มี.ค.67</t>
  </si>
  <si>
    <t>ผลการประเมินภาวะวิกฤติ เดือน พฤษภาคม ปีงบประมาณ 2567</t>
  </si>
  <si>
    <t>Risk Scoring พ.ค.67</t>
  </si>
  <si>
    <t>Risk Scoring เดือน เม.ย.67</t>
  </si>
  <si>
    <t>ผลการประเมินภาวะวิกฤติ เดือน มิถุนายน ปีงบประมาณ 2567</t>
  </si>
  <si>
    <t>ผลการประเมินภาวะวิกฤติ เดือน กรกฏาคม ปีงบประมาณ 2567</t>
  </si>
  <si>
    <t>Risk Scoring ก.ค.67</t>
  </si>
  <si>
    <t>Risk Scoring เดือน มิ.ย.67</t>
  </si>
  <si>
    <t>ผลการประเมินภาวะวิกฤติ เดือน สิงหาคม ปีงบประมาณ 2567</t>
  </si>
  <si>
    <t>Risk Scoring ส.ค.67</t>
  </si>
  <si>
    <t>Risk Scoring เดือน ก.ค.67</t>
  </si>
  <si>
    <t>ผลการประเมินภาวะวิกฤติ เดือน กันยายน ปีงบประมาณ 2567</t>
  </si>
  <si>
    <t>Risk Scoring ก.ย.67</t>
  </si>
  <si>
    <t>Risk Scoring เดือน ส.ค.67</t>
  </si>
  <si>
    <t>เขต</t>
  </si>
  <si>
    <t>จังหวัด</t>
  </si>
  <si>
    <t>รหัส</t>
  </si>
  <si>
    <t>หน่วยงาน</t>
  </si>
  <si>
    <t>ประเภท</t>
  </si>
  <si>
    <t>TimeID</t>
  </si>
  <si>
    <t>งวดเดือน</t>
  </si>
  <si>
    <t>CR</t>
  </si>
  <si>
    <t>QR</t>
  </si>
  <si>
    <t>Cash</t>
  </si>
  <si>
    <t>NWC</t>
  </si>
  <si>
    <t>NI</t>
  </si>
  <si>
    <t>LiI</t>
  </si>
  <si>
    <t>StI</t>
  </si>
  <si>
    <t>SuI</t>
  </si>
  <si>
    <t>RiskScroing</t>
  </si>
  <si>
    <t>เงินบำรุงคงเหลือสุทธิ</t>
  </si>
  <si>
    <t>พระนครศรีอยุธยา</t>
  </si>
  <si>
    <t>10660</t>
  </si>
  <si>
    <t>พระนครศรีอยุธยา,รพศ.</t>
  </si>
  <si>
    <t>10688</t>
  </si>
  <si>
    <t>เสนา,รพท.</t>
  </si>
  <si>
    <t>10768</t>
  </si>
  <si>
    <t>รพช.</t>
  </si>
  <si>
    <t>10769</t>
  </si>
  <si>
    <t>10770</t>
  </si>
  <si>
    <t>10771</t>
  </si>
  <si>
    <t>10772</t>
  </si>
  <si>
    <t>10773</t>
  </si>
  <si>
    <t>10774</t>
  </si>
  <si>
    <t>10775</t>
  </si>
  <si>
    <t>ภาชี,รพช.</t>
  </si>
  <si>
    <t>10776</t>
  </si>
  <si>
    <t>ลาดบัวหลวง,รพช.</t>
  </si>
  <si>
    <t>10778</t>
  </si>
  <si>
    <t>10779</t>
  </si>
  <si>
    <t>10780</t>
  </si>
  <si>
    <t>10781</t>
  </si>
  <si>
    <t>10777</t>
  </si>
  <si>
    <t>สมเด็จพระสังฆราชเจ้า กรมหลวงชินวราลงกรณ (วาสนมหาเถร),รพช.</t>
  </si>
  <si>
    <t>บางไทร(พระนครศรีอยุธยา),รพช.</t>
  </si>
  <si>
    <t>256709</t>
  </si>
  <si>
    <t>มิ.ย.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</si>
</sst>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  <numFmt numFmtId="192" formatCode="#.00,,"/>
  </numFmts>
  <fonts count="3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F5273B"/>
      <name val="TH SarabunPSK"/>
      <family val="2"/>
    </font>
    <font>
      <sz val="18"/>
      <color rgb="FF000000"/>
      <name val="Juice ITC"/>
      <family val="5"/>
    </font>
    <font>
      <sz val="12.6"/>
      <color rgb="FF000000"/>
      <name val="TH SarabunPSK"/>
      <family val="2"/>
    </font>
    <font>
      <b/>
      <u/>
      <sz val="20"/>
      <color theme="1"/>
      <name val="TH SarabunPSK"/>
      <family val="2"/>
    </font>
    <font>
      <b/>
      <sz val="20"/>
      <color rgb="FF0070C0"/>
      <name val="TH SarabunPSK"/>
      <family val="2"/>
    </font>
    <font>
      <b/>
      <sz val="20"/>
      <color rgb="FF0000FF"/>
      <name val="TH SarabunPSK"/>
      <family val="2"/>
    </font>
    <font>
      <sz val="14"/>
      <color indexed="8"/>
      <name val="TH SarabunPSK"/>
      <family val="2"/>
    </font>
    <font>
      <sz val="11"/>
      <color theme="1"/>
      <name val="TH SarabunPSK"/>
      <family val="2"/>
    </font>
    <font>
      <sz val="10"/>
      <color indexed="8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ACB1"/>
        <bgColor indexed="64"/>
      </patternFill>
    </fill>
    <fill>
      <patternFill patternType="solid">
        <fgColor rgb="FFF2828A"/>
        <bgColor indexed="64"/>
      </patternFill>
    </fill>
    <fill>
      <patternFill patternType="solid">
        <fgColor rgb="FFF7536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5273B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37" fillId="0" borderId="0"/>
  </cellStyleXfs>
  <cellXfs count="1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/>
    <xf numFmtId="190" fontId="2" fillId="0" borderId="1" xfId="0" applyNumberFormat="1" applyFont="1" applyBorder="1"/>
    <xf numFmtId="0" fontId="11" fillId="0" borderId="0" xfId="0" applyFont="1"/>
    <xf numFmtId="2" fontId="11" fillId="0" borderId="0" xfId="0" applyNumberFormat="1" applyFont="1"/>
    <xf numFmtId="17" fontId="11" fillId="0" borderId="0" xfId="0" applyNumberFormat="1" applyFont="1" applyAlignment="1">
      <alignment horizontal="center"/>
    </xf>
    <xf numFmtId="43" fontId="11" fillId="0" borderId="0" xfId="1" applyFont="1" applyFill="1" applyBorder="1"/>
    <xf numFmtId="43" fontId="11" fillId="0" borderId="0" xfId="1" applyFont="1"/>
    <xf numFmtId="43" fontId="15" fillId="0" borderId="0" xfId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43" fontId="16" fillId="0" borderId="1" xfId="1" applyFont="1" applyFill="1" applyBorder="1" applyAlignment="1"/>
    <xf numFmtId="43" fontId="16" fillId="0" borderId="1" xfId="1" applyFont="1" applyBorder="1" applyAlignment="1"/>
    <xf numFmtId="0" fontId="11" fillId="0" borderId="0" xfId="0" applyFont="1" applyAlignment="1">
      <alignment horizontal="left" vertical="center"/>
    </xf>
    <xf numFmtId="43" fontId="16" fillId="0" borderId="1" xfId="1" applyFont="1" applyFill="1" applyBorder="1" applyAlignment="1">
      <alignment vertical="center"/>
    </xf>
    <xf numFmtId="43" fontId="16" fillId="0" borderId="4" xfId="1" applyFont="1" applyBorder="1" applyAlignment="1"/>
    <xf numFmtId="0" fontId="8" fillId="0" borderId="0" xfId="0" applyFont="1" applyAlignment="1">
      <alignment vertical="top"/>
    </xf>
    <xf numFmtId="43" fontId="16" fillId="0" borderId="2" xfId="1" applyFont="1" applyBorder="1" applyAlignment="1">
      <alignment horizontal="left" vertical="center"/>
    </xf>
    <xf numFmtId="43" fontId="16" fillId="0" borderId="2" xfId="1" applyFont="1" applyBorder="1" applyAlignment="1">
      <alignment vertical="center"/>
    </xf>
    <xf numFmtId="187" fontId="15" fillId="0" borderId="2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87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3" fontId="16" fillId="0" borderId="0" xfId="1" applyFont="1"/>
    <xf numFmtId="43" fontId="22" fillId="0" borderId="0" xfId="1" applyFont="1" applyFill="1"/>
    <xf numFmtId="0" fontId="22" fillId="0" borderId="0" xfId="0" applyFont="1" applyAlignment="1">
      <alignment horizontal="center"/>
    </xf>
    <xf numFmtId="43" fontId="16" fillId="0" borderId="3" xfId="1" applyFont="1" applyBorder="1" applyAlignment="1">
      <alignment horizontal="left" vertical="center"/>
    </xf>
    <xf numFmtId="43" fontId="15" fillId="0" borderId="4" xfId="1" applyFont="1" applyBorder="1" applyAlignment="1">
      <alignment horizontal="center" vertical="center"/>
    </xf>
    <xf numFmtId="0" fontId="8" fillId="0" borderId="0" xfId="0" applyFont="1"/>
    <xf numFmtId="0" fontId="11" fillId="0" borderId="7" xfId="0" applyFont="1" applyBorder="1" applyAlignment="1">
      <alignment horizontal="center"/>
    </xf>
    <xf numFmtId="191" fontId="8" fillId="0" borderId="0" xfId="0" applyNumberFormat="1" applyFont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88" fontId="9" fillId="2" borderId="8" xfId="0" applyNumberFormat="1" applyFont="1" applyFill="1" applyBorder="1" applyAlignment="1">
      <alignment horizontal="center" vertical="center" wrapText="1" readingOrder="1"/>
    </xf>
    <xf numFmtId="3" fontId="8" fillId="0" borderId="8" xfId="0" applyNumberFormat="1" applyFont="1" applyBorder="1" applyAlignment="1">
      <alignment horizontal="center" vertical="center" wrapText="1" readingOrder="1"/>
    </xf>
    <xf numFmtId="0" fontId="1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4" fontId="10" fillId="0" borderId="8" xfId="0" applyNumberFormat="1" applyFont="1" applyBorder="1" applyAlignment="1">
      <alignment horizontal="center" vertical="center" wrapText="1" readingOrder="1"/>
    </xf>
    <xf numFmtId="4" fontId="10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left" vertical="center" wrapText="1" readingOrder="1"/>
    </xf>
    <xf numFmtId="4" fontId="9" fillId="0" borderId="8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4" fontId="25" fillId="0" borderId="8" xfId="0" applyNumberFormat="1" applyFont="1" applyBorder="1" applyAlignment="1">
      <alignment horizontal="center" vertical="center"/>
    </xf>
    <xf numFmtId="187" fontId="15" fillId="0" borderId="13" xfId="1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 readingOrder="1"/>
    </xf>
    <xf numFmtId="0" fontId="26" fillId="0" borderId="8" xfId="0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 wrapText="1" readingOrder="1"/>
    </xf>
    <xf numFmtId="188" fontId="27" fillId="2" borderId="8" xfId="0" applyNumberFormat="1" applyFont="1" applyFill="1" applyBorder="1" applyAlignment="1">
      <alignment horizontal="center" vertical="center" wrapText="1" readingOrder="1"/>
    </xf>
    <xf numFmtId="3" fontId="28" fillId="0" borderId="8" xfId="0" applyNumberFormat="1" applyFont="1" applyBorder="1" applyAlignment="1">
      <alignment horizontal="center" vertical="center" wrapText="1" readingOrder="1"/>
    </xf>
    <xf numFmtId="4" fontId="27" fillId="0" borderId="8" xfId="0" applyNumberFormat="1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 wrapText="1" readingOrder="1"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3" fontId="28" fillId="12" borderId="8" xfId="0" applyNumberFormat="1" applyFont="1" applyFill="1" applyBorder="1" applyAlignment="1">
      <alignment horizontal="center" vertical="center" wrapText="1" readingOrder="1"/>
    </xf>
    <xf numFmtId="4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88" fontId="26" fillId="2" borderId="8" xfId="0" applyNumberFormat="1" applyFont="1" applyFill="1" applyBorder="1" applyAlignment="1">
      <alignment horizontal="center" vertical="center" wrapText="1" readingOrder="1"/>
    </xf>
    <xf numFmtId="3" fontId="26" fillId="0" borderId="8" xfId="0" applyNumberFormat="1" applyFont="1" applyBorder="1" applyAlignment="1">
      <alignment horizontal="center" vertical="center" wrapText="1" readingOrder="1"/>
    </xf>
    <xf numFmtId="0" fontId="13" fillId="7" borderId="10" xfId="0" applyFont="1" applyFill="1" applyBorder="1" applyAlignment="1">
      <alignment horizontal="center" vertical="center" wrapText="1" readingOrder="1"/>
    </xf>
    <xf numFmtId="4" fontId="9" fillId="0" borderId="0" xfId="0" applyNumberFormat="1" applyFont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 readingOrder="1"/>
    </xf>
    <xf numFmtId="192" fontId="25" fillId="0" borderId="8" xfId="0" applyNumberFormat="1" applyFont="1" applyBorder="1" applyAlignment="1">
      <alignment horizontal="center" vertical="center"/>
    </xf>
    <xf numFmtId="192" fontId="9" fillId="0" borderId="8" xfId="1" applyNumberFormat="1" applyFont="1" applyBorder="1" applyAlignment="1">
      <alignment horizontal="center" vertical="center" wrapText="1" readingOrder="1"/>
    </xf>
    <xf numFmtId="4" fontId="32" fillId="0" borderId="0" xfId="0" applyNumberFormat="1" applyFont="1" applyAlignment="1">
      <alignment horizontal="center"/>
    </xf>
    <xf numFmtId="192" fontId="9" fillId="0" borderId="8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 wrapText="1" readingOrder="1"/>
    </xf>
    <xf numFmtId="4" fontId="8" fillId="0" borderId="0" xfId="0" applyNumberFormat="1" applyFont="1"/>
    <xf numFmtId="4" fontId="2" fillId="0" borderId="0" xfId="0" applyNumberFormat="1" applyFont="1" applyAlignment="1">
      <alignment horizontal="center"/>
    </xf>
    <xf numFmtId="3" fontId="10" fillId="0" borderId="8" xfId="0" applyNumberFormat="1" applyFont="1" applyBorder="1" applyAlignment="1">
      <alignment horizontal="center" vertical="center" wrapText="1" readingOrder="1"/>
    </xf>
    <xf numFmtId="3" fontId="10" fillId="14" borderId="8" xfId="0" applyNumberFormat="1" applyFont="1" applyFill="1" applyBorder="1" applyAlignment="1">
      <alignment horizontal="center" vertical="center" wrapText="1" readingOrder="1"/>
    </xf>
    <xf numFmtId="3" fontId="28" fillId="15" borderId="8" xfId="0" applyNumberFormat="1" applyFont="1" applyFill="1" applyBorder="1" applyAlignment="1">
      <alignment horizontal="center" vertical="center" wrapText="1" readingOrder="1"/>
    </xf>
    <xf numFmtId="4" fontId="27" fillId="0" borderId="8" xfId="0" applyNumberFormat="1" applyFont="1" applyBorder="1" applyAlignment="1">
      <alignment horizontal="center" vertical="center" wrapText="1" readingOrder="1"/>
    </xf>
    <xf numFmtId="0" fontId="27" fillId="0" borderId="8" xfId="0" applyFont="1" applyBorder="1" applyAlignment="1">
      <alignment horizontal="center" vertical="center"/>
    </xf>
    <xf numFmtId="3" fontId="26" fillId="15" borderId="8" xfId="0" applyNumberFormat="1" applyFont="1" applyFill="1" applyBorder="1" applyAlignment="1">
      <alignment horizontal="center" vertical="center" wrapText="1" readingOrder="1"/>
    </xf>
    <xf numFmtId="3" fontId="26" fillId="16" borderId="8" xfId="0" applyNumberFormat="1" applyFont="1" applyFill="1" applyBorder="1" applyAlignment="1">
      <alignment horizontal="center" vertical="center" wrapText="1" readingOrder="1"/>
    </xf>
    <xf numFmtId="3" fontId="27" fillId="14" borderId="8" xfId="0" applyNumberFormat="1" applyFont="1" applyFill="1" applyBorder="1" applyAlignment="1">
      <alignment horizontal="center" vertical="center" wrapText="1" readingOrder="1"/>
    </xf>
    <xf numFmtId="2" fontId="27" fillId="0" borderId="8" xfId="0" applyNumberFormat="1" applyFont="1" applyBorder="1" applyAlignment="1">
      <alignment horizontal="center" vertical="center"/>
    </xf>
    <xf numFmtId="3" fontId="28" fillId="14" borderId="8" xfId="0" applyNumberFormat="1" applyFont="1" applyFill="1" applyBorder="1" applyAlignment="1">
      <alignment horizontal="center" vertical="center" wrapText="1" readingOrder="1"/>
    </xf>
    <xf numFmtId="3" fontId="28" fillId="16" borderId="8" xfId="0" applyNumberFormat="1" applyFont="1" applyFill="1" applyBorder="1" applyAlignment="1">
      <alignment horizontal="center" vertical="center" wrapText="1" readingOrder="1"/>
    </xf>
    <xf numFmtId="4" fontId="33" fillId="0" borderId="8" xfId="0" applyNumberFormat="1" applyFont="1" applyBorder="1" applyAlignment="1">
      <alignment horizontal="center" vertical="center"/>
    </xf>
    <xf numFmtId="43" fontId="26" fillId="0" borderId="8" xfId="1" applyFont="1" applyBorder="1" applyAlignment="1">
      <alignment horizontal="center" vertical="center"/>
    </xf>
    <xf numFmtId="188" fontId="27" fillId="0" borderId="8" xfId="1" applyNumberFormat="1" applyFont="1" applyBorder="1" applyAlignment="1">
      <alignment horizontal="center" vertical="center"/>
    </xf>
    <xf numFmtId="188" fontId="26" fillId="0" borderId="8" xfId="1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3" fontId="28" fillId="0" borderId="18" xfId="0" applyNumberFormat="1" applyFont="1" applyBorder="1" applyAlignment="1">
      <alignment horizontal="center" vertical="center" wrapText="1" readingOrder="1"/>
    </xf>
    <xf numFmtId="3" fontId="28" fillId="0" borderId="16" xfId="0" applyNumberFormat="1" applyFont="1" applyBorder="1" applyAlignment="1">
      <alignment horizontal="center" vertical="center" wrapText="1" readingOrder="1"/>
    </xf>
    <xf numFmtId="4" fontId="34" fillId="0" borderId="8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3" fontId="26" fillId="15" borderId="18" xfId="0" applyNumberFormat="1" applyFont="1" applyFill="1" applyBorder="1" applyAlignment="1">
      <alignment horizontal="center" vertical="center" wrapText="1" readingOrder="1"/>
    </xf>
    <xf numFmtId="3" fontId="26" fillId="15" borderId="19" xfId="0" applyNumberFormat="1" applyFont="1" applyFill="1" applyBorder="1" applyAlignment="1">
      <alignment horizontal="center" vertical="center" wrapText="1" readingOrder="1"/>
    </xf>
    <xf numFmtId="4" fontId="28" fillId="0" borderId="8" xfId="0" applyNumberFormat="1" applyFont="1" applyBorder="1" applyAlignment="1">
      <alignment horizontal="center" vertical="center"/>
    </xf>
    <xf numFmtId="4" fontId="28" fillId="0" borderId="8" xfId="0" applyNumberFormat="1" applyFont="1" applyBorder="1" applyAlignment="1">
      <alignment horizontal="center" vertical="center" wrapText="1" readingOrder="1"/>
    </xf>
    <xf numFmtId="0" fontId="28" fillId="0" borderId="8" xfId="0" applyFont="1" applyBorder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 wrapText="1" readingOrder="1"/>
    </xf>
    <xf numFmtId="4" fontId="27" fillId="0" borderId="0" xfId="0" applyNumberFormat="1" applyFont="1" applyAlignment="1">
      <alignment horizontal="center" vertical="center"/>
    </xf>
    <xf numFmtId="3" fontId="28" fillId="0" borderId="19" xfId="0" applyNumberFormat="1" applyFont="1" applyBorder="1" applyAlignment="1">
      <alignment horizontal="center" vertical="center" wrapText="1" readingOrder="1"/>
    </xf>
    <xf numFmtId="2" fontId="9" fillId="0" borderId="8" xfId="0" applyNumberFormat="1" applyFont="1" applyBorder="1" applyAlignment="1">
      <alignment horizontal="center" vertical="center"/>
    </xf>
    <xf numFmtId="3" fontId="8" fillId="15" borderId="8" xfId="0" applyNumberFormat="1" applyFont="1" applyFill="1" applyBorder="1" applyAlignment="1">
      <alignment horizontal="center" vertical="center" wrapText="1" readingOrder="1"/>
    </xf>
    <xf numFmtId="3" fontId="8" fillId="14" borderId="8" xfId="0" applyNumberFormat="1" applyFont="1" applyFill="1" applyBorder="1" applyAlignment="1">
      <alignment horizontal="center" vertical="center" wrapText="1" readingOrder="1"/>
    </xf>
    <xf numFmtId="3" fontId="8" fillId="18" borderId="8" xfId="0" applyNumberFormat="1" applyFont="1" applyFill="1" applyBorder="1" applyAlignment="1">
      <alignment horizontal="center" vertical="center" wrapText="1" readingOrder="1"/>
    </xf>
    <xf numFmtId="188" fontId="10" fillId="2" borderId="8" xfId="0" applyNumberFormat="1" applyFont="1" applyFill="1" applyBorder="1" applyAlignment="1">
      <alignment horizontal="center" vertical="center" wrapText="1" readingOrder="1"/>
    </xf>
    <xf numFmtId="3" fontId="10" fillId="16" borderId="8" xfId="0" applyNumberFormat="1" applyFont="1" applyFill="1" applyBorder="1" applyAlignment="1">
      <alignment horizontal="center" vertical="center" wrapText="1" readingOrder="1"/>
    </xf>
    <xf numFmtId="3" fontId="10" fillId="15" borderId="8" xfId="0" applyNumberFormat="1" applyFont="1" applyFill="1" applyBorder="1" applyAlignment="1">
      <alignment horizontal="center" vertical="center" wrapText="1" readingOrder="1"/>
    </xf>
    <xf numFmtId="0" fontId="36" fillId="0" borderId="0" xfId="0" applyFont="1"/>
    <xf numFmtId="0" fontId="24" fillId="0" borderId="0" xfId="0" applyFont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 readingOrder="1"/>
    </xf>
    <xf numFmtId="3" fontId="12" fillId="11" borderId="8" xfId="0" applyNumberFormat="1" applyFont="1" applyFill="1" applyBorder="1" applyAlignment="1">
      <alignment horizontal="center" vertical="center" wrapText="1"/>
    </xf>
    <xf numFmtId="3" fontId="12" fillId="10" borderId="8" xfId="0" applyNumberFormat="1" applyFont="1" applyFill="1" applyBorder="1" applyAlignment="1">
      <alignment horizontal="center" vertical="center" wrapText="1"/>
    </xf>
    <xf numFmtId="3" fontId="12" fillId="6" borderId="8" xfId="0" applyNumberFormat="1" applyFont="1" applyFill="1" applyBorder="1" applyAlignment="1">
      <alignment horizontal="center" vertical="center" wrapText="1"/>
    </xf>
    <xf numFmtId="3" fontId="12" fillId="6" borderId="15" xfId="0" applyNumberFormat="1" applyFont="1" applyFill="1" applyBorder="1" applyAlignment="1">
      <alignment horizontal="center" vertical="center" wrapText="1"/>
    </xf>
    <xf numFmtId="3" fontId="12" fillId="3" borderId="17" xfId="0" applyNumberFormat="1" applyFont="1" applyFill="1" applyBorder="1" applyAlignment="1">
      <alignment horizontal="center" vertical="center" wrapText="1"/>
    </xf>
    <xf numFmtId="3" fontId="12" fillId="3" borderId="18" xfId="0" applyNumberFormat="1" applyFont="1" applyFill="1" applyBorder="1" applyAlignment="1">
      <alignment horizontal="center" vertical="center" wrapText="1"/>
    </xf>
    <xf numFmtId="189" fontId="14" fillId="6" borderId="15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 readingOrder="1"/>
    </xf>
    <xf numFmtId="3" fontId="14" fillId="9" borderId="8" xfId="0" applyNumberFormat="1" applyFont="1" applyFill="1" applyBorder="1" applyAlignment="1">
      <alignment horizontal="center" vertical="center" wrapText="1"/>
    </xf>
    <xf numFmtId="43" fontId="6" fillId="7" borderId="8" xfId="1" applyFont="1" applyFill="1" applyBorder="1" applyAlignment="1">
      <alignment horizontal="center" vertical="center" wrapText="1" readingOrder="1"/>
    </xf>
    <xf numFmtId="3" fontId="14" fillId="8" borderId="8" xfId="0" applyNumberFormat="1" applyFont="1" applyFill="1" applyBorder="1" applyAlignment="1">
      <alignment horizontal="center" vertical="center" wrapText="1"/>
    </xf>
    <xf numFmtId="43" fontId="8" fillId="7" borderId="8" xfId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 readingOrder="1"/>
    </xf>
    <xf numFmtId="43" fontId="15" fillId="0" borderId="1" xfId="1" applyFont="1" applyBorder="1" applyAlignment="1">
      <alignment horizontal="center" vertical="center"/>
    </xf>
    <xf numFmtId="43" fontId="15" fillId="0" borderId="4" xfId="1" applyFont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 wrapText="1" readingOrder="1"/>
    </xf>
    <xf numFmtId="3" fontId="12" fillId="3" borderId="8" xfId="0" applyNumberFormat="1" applyFont="1" applyFill="1" applyBorder="1" applyAlignment="1">
      <alignment horizontal="center" vertical="center" wrapText="1"/>
    </xf>
    <xf numFmtId="189" fontId="14" fillId="6" borderId="8" xfId="0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 readingOrder="1"/>
    </xf>
    <xf numFmtId="0" fontId="6" fillId="4" borderId="11" xfId="0" applyFont="1" applyFill="1" applyBorder="1" applyAlignment="1">
      <alignment horizontal="center" vertical="center" wrapText="1" readingOrder="1"/>
    </xf>
    <xf numFmtId="0" fontId="6" fillId="4" borderId="9" xfId="0" applyFont="1" applyFill="1" applyBorder="1" applyAlignment="1">
      <alignment horizontal="center" vertical="center" wrapText="1" readingOrder="1"/>
    </xf>
    <xf numFmtId="0" fontId="6" fillId="4" borderId="8" xfId="0" applyFont="1" applyFill="1" applyBorder="1" applyAlignment="1">
      <alignment horizontal="center" vertical="center" wrapText="1" readingOrder="1"/>
    </xf>
    <xf numFmtId="0" fontId="28" fillId="4" borderId="8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 readingOrder="1"/>
    </xf>
    <xf numFmtId="3" fontId="14" fillId="9" borderId="10" xfId="0" applyNumberFormat="1" applyFont="1" applyFill="1" applyBorder="1" applyAlignment="1">
      <alignment horizontal="center" vertical="center" wrapText="1"/>
    </xf>
    <xf numFmtId="43" fontId="6" fillId="7" borderId="10" xfId="1" applyFont="1" applyFill="1" applyBorder="1" applyAlignment="1">
      <alignment horizontal="center" vertical="center" wrapText="1" readingOrder="1"/>
    </xf>
    <xf numFmtId="0" fontId="6" fillId="7" borderId="10" xfId="0" applyFont="1" applyFill="1" applyBorder="1" applyAlignment="1">
      <alignment horizontal="center" vertical="center" wrapText="1" readingOrder="1"/>
    </xf>
    <xf numFmtId="3" fontId="14" fillId="8" borderId="10" xfId="0" applyNumberFormat="1" applyFont="1" applyFill="1" applyBorder="1" applyAlignment="1">
      <alignment horizontal="center" vertical="center" wrapText="1"/>
    </xf>
    <xf numFmtId="43" fontId="8" fillId="7" borderId="10" xfId="1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center" vertical="center" wrapText="1"/>
    </xf>
    <xf numFmtId="189" fontId="14" fillId="6" borderId="10" xfId="0" applyNumberFormat="1" applyFont="1" applyFill="1" applyBorder="1" applyAlignment="1">
      <alignment horizontal="center" vertical="center" wrapText="1"/>
    </xf>
    <xf numFmtId="3" fontId="12" fillId="13" borderId="8" xfId="0" applyNumberFormat="1" applyFont="1" applyFill="1" applyBorder="1" applyAlignment="1">
      <alignment horizontal="center" vertical="center" wrapText="1"/>
    </xf>
    <xf numFmtId="3" fontId="12" fillId="19" borderId="8" xfId="0" applyNumberFormat="1" applyFont="1" applyFill="1" applyBorder="1" applyAlignment="1">
      <alignment horizontal="center" vertical="center" wrapText="1"/>
    </xf>
    <xf numFmtId="3" fontId="12" fillId="20" borderId="8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 readingOrder="1"/>
    </xf>
    <xf numFmtId="0" fontId="13" fillId="7" borderId="11" xfId="0" applyFont="1" applyFill="1" applyBorder="1" applyAlignment="1">
      <alignment horizontal="center" vertical="center" wrapText="1" readingOrder="1"/>
    </xf>
    <xf numFmtId="0" fontId="6" fillId="7" borderId="9" xfId="0" applyFont="1" applyFill="1" applyBorder="1" applyAlignment="1">
      <alignment horizontal="center" vertical="center" wrapText="1" readingOrder="1"/>
    </xf>
    <xf numFmtId="0" fontId="35" fillId="17" borderId="20" xfId="3" applyFont="1" applyFill="1" applyBorder="1" applyAlignment="1">
      <alignment horizontal="center"/>
    </xf>
    <xf numFmtId="0" fontId="35" fillId="0" borderId="21" xfId="3" applyFont="1" applyFill="1" applyBorder="1" applyAlignment="1">
      <alignment horizontal="right" wrapText="1"/>
    </xf>
    <xf numFmtId="0" fontId="35" fillId="0" borderId="21" xfId="3" applyFont="1" applyFill="1" applyBorder="1" applyAlignment="1">
      <alignment wrapText="1"/>
    </xf>
    <xf numFmtId="4" fontId="35" fillId="0" borderId="21" xfId="3" applyNumberFormat="1" applyFont="1" applyFill="1" applyBorder="1" applyAlignment="1">
      <alignment horizontal="right" wrapText="1"/>
    </xf>
    <xf numFmtId="3" fontId="28" fillId="21" borderId="8" xfId="0" applyNumberFormat="1" applyFont="1" applyFill="1" applyBorder="1" applyAlignment="1">
      <alignment horizontal="center" vertical="center" wrapText="1" readingOrder="1"/>
    </xf>
  </cellXfs>
  <cellStyles count="4">
    <cellStyle name="Normal 2" xfId="2" xr:uid="{00000000-0005-0000-0000-000002000000}"/>
    <cellStyle name="จุลภาค" xfId="1" builtinId="3"/>
    <cellStyle name="ปกติ" xfId="0" builtinId="0"/>
    <cellStyle name="ปกติ_Sheet3" xfId="3" xr:uid="{FED4F841-D863-43B5-A941-84987116E881}"/>
  </cellStyles>
  <dxfs count="28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6ACB1"/>
      <color rgb="FFF2828A"/>
      <color rgb="FFF75363"/>
      <color rgb="FFF5273B"/>
      <color rgb="FFFFFF69"/>
      <color rgb="FFFCC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Sheet2!$B$1:$B$2</c:f>
              <c:strCache>
                <c:ptCount val="2"/>
                <c:pt idx="0">
                  <c:v>CR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Sheet2!$B$3:$B$18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5ACA-465E-A6A5-53B9F19DABAA}"/>
            </c:ext>
          </c:extLst>
        </c:ser>
        <c:ser>
          <c:idx val="1"/>
          <c:order val="1"/>
          <c:tx>
            <c:strRef>
              <c:f>Sheet2!$C$1:$C$2</c:f>
              <c:strCache>
                <c:ptCount val="2"/>
                <c:pt idx="0">
                  <c:v>QR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Sheet2!$C$3:$C$18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5ACA-465E-A6A5-53B9F19DABAA}"/>
            </c:ext>
          </c:extLst>
        </c:ser>
        <c:ser>
          <c:idx val="2"/>
          <c:order val="2"/>
          <c:tx>
            <c:strRef>
              <c:f>Sheet2!$D$1:$D$2</c:f>
              <c:strCache>
                <c:ptCount val="2"/>
                <c:pt idx="0">
                  <c:v>Cash
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Sheet2!$D$3:$D$18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5ACA-465E-A6A5-53B9F19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04650512"/>
        <c:axId val="1504629712"/>
      </c:barChart>
      <c:lineChart>
        <c:grouping val="standard"/>
        <c:varyColors val="0"/>
        <c:ser>
          <c:idx val="3"/>
          <c:order val="3"/>
          <c:tx>
            <c:strRef>
              <c:f>Sheet2!$E$1:$E$2</c:f>
              <c:strCache>
                <c:ptCount val="2"/>
                <c:pt idx="0">
                  <c:v>CR
≥ 1.50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Sheet2!$E$3:$E$18</c:f>
              <c:numCache>
                <c:formatCode>0.00</c:formatCode>
                <c:ptCount val="16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65E-A6A5-53B9F19DABAA}"/>
            </c:ext>
          </c:extLst>
        </c:ser>
        <c:ser>
          <c:idx val="4"/>
          <c:order val="4"/>
          <c:tx>
            <c:strRef>
              <c:f>Sheet2!$F$1:$F$2</c:f>
              <c:strCache>
                <c:ptCount val="2"/>
                <c:pt idx="0">
                  <c:v>QR
≥ 1.00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Sheet2!$F$3:$F$18</c:f>
              <c:numCache>
                <c:formatCode>0.00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65E-A6A5-53B9F19DABAA}"/>
            </c:ext>
          </c:extLst>
        </c:ser>
        <c:ser>
          <c:idx val="5"/>
          <c:order val="5"/>
          <c:tx>
            <c:strRef>
              <c:f>Sheet2!$G$1:$G$2</c:f>
              <c:strCache>
                <c:ptCount val="2"/>
                <c:pt idx="0">
                  <c:v>Cash
≥ 0.80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Sheet2!$G$3:$G$18</c:f>
              <c:numCache>
                <c:formatCode>0.00</c:formatCode>
                <c:ptCount val="16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CA-465E-A6A5-53B9F19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650512"/>
        <c:axId val="1504629712"/>
      </c:lineChart>
      <c:catAx>
        <c:axId val="150465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04629712"/>
        <c:crosses val="autoZero"/>
        <c:auto val="1"/>
        <c:lblAlgn val="ctr"/>
        <c:lblOffset val="100"/>
        <c:noMultiLvlLbl val="0"/>
      </c:catAx>
      <c:valAx>
        <c:axId val="150462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0465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Sheet2!$I$1:$I$2</c:f>
              <c:strCache>
                <c:ptCount val="2"/>
                <c:pt idx="0">
                  <c:v>NI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5"/>
              <c:layout>
                <c:manualLayout>
                  <c:x val="0"/>
                  <c:y val="-0.111731843575418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36-4F6E-BA1E-47954184A6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Sheet2!$H$3:$H$18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Sheet2!$I$3:$I$18</c:f>
              <c:numCache>
                <c:formatCode>#.00,,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2721-4CB6-9636-5115EE2436EC}"/>
            </c:ext>
          </c:extLst>
        </c:ser>
        <c:ser>
          <c:idx val="1"/>
          <c:order val="1"/>
          <c:tx>
            <c:strRef>
              <c:f>Sheet2!$J$1:$J$2</c:f>
              <c:strCache>
                <c:ptCount val="2"/>
                <c:pt idx="0">
                  <c:v>EBITDA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Sheet2!$H$3:$H$18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Sheet2!$J$3:$J$18</c:f>
              <c:numCache>
                <c:formatCode>#.00,,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2721-4CB6-9636-5115EE2436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5397504"/>
        <c:axId val="1525396672"/>
      </c:barChart>
      <c:catAx>
        <c:axId val="152539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25396672"/>
        <c:crosses val="autoZero"/>
        <c:auto val="1"/>
        <c:lblAlgn val="ctr"/>
        <c:lblOffset val="100"/>
        <c:noMultiLvlLbl val="0"/>
      </c:catAx>
      <c:valAx>
        <c:axId val="152539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2539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271462</xdr:colOff>
      <xdr:row>0</xdr:row>
      <xdr:rowOff>276225</xdr:rowOff>
    </xdr:from>
    <xdr:to>
      <xdr:col>17</xdr:col>
      <xdr:colOff>42862</xdr:colOff>
      <xdr:row>8</xdr:row>
      <xdr:rowOff>257175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8137A6BD-C129-551A-FEC0-557EA1D86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309562</xdr:colOff>
      <xdr:row>9</xdr:row>
      <xdr:rowOff>238125</xdr:rowOff>
    </xdr:from>
    <xdr:to>
      <xdr:col>21</xdr:col>
      <xdr:colOff>19050</xdr:colOff>
      <xdr:row>21</xdr:row>
      <xdr:rowOff>104775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B94284B3-AF4E-9E3F-7788-5AE1A33E34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J44"/>
  <sheetViews>
    <sheetView topLeftCell="B1" zoomScale="70" zoomScaleNormal="70" workbookViewId="0">
      <pane xSplit="2" ySplit="4" topLeftCell="H5" activePane="bottomRight" state="frozen"/>
      <selection activeCell="J6" sqref="J6"/>
      <selection pane="topRight" activeCell="J6" sqref="J6"/>
      <selection pane="bottomLeft" activeCell="J6" sqref="J6"/>
      <selection pane="bottomRight" activeCell="AS7" sqref="AS7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4" t="s">
        <v>84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1" t="s">
        <v>53</v>
      </c>
      <c r="P1" s="38">
        <v>45251</v>
      </c>
    </row>
    <row r="2" spans="1:25" ht="54.75" customHeight="1" thickBot="1" x14ac:dyDescent="0.3">
      <c r="C2" s="125" t="s">
        <v>41</v>
      </c>
      <c r="D2" s="126" t="s">
        <v>40</v>
      </c>
      <c r="E2" s="126"/>
      <c r="F2" s="126"/>
      <c r="G2" s="126"/>
      <c r="H2" s="127" t="s">
        <v>39</v>
      </c>
      <c r="I2" s="127"/>
      <c r="J2" s="127"/>
      <c r="K2" s="128" t="s">
        <v>38</v>
      </c>
      <c r="L2" s="128"/>
      <c r="M2" s="129"/>
      <c r="N2" s="130" t="s">
        <v>85</v>
      </c>
      <c r="O2" s="142" t="s">
        <v>86</v>
      </c>
      <c r="P2" s="139" t="s">
        <v>56</v>
      </c>
      <c r="Q2" s="133" t="s">
        <v>57</v>
      </c>
    </row>
    <row r="3" spans="1:25" ht="38.25" customHeight="1" thickBot="1" x14ac:dyDescent="0.3">
      <c r="C3" s="125"/>
      <c r="D3" s="134" t="s">
        <v>36</v>
      </c>
      <c r="E3" s="134" t="s">
        <v>35</v>
      </c>
      <c r="F3" s="134" t="s">
        <v>34</v>
      </c>
      <c r="G3" s="135" t="s">
        <v>29</v>
      </c>
      <c r="H3" s="136" t="s">
        <v>33</v>
      </c>
      <c r="I3" s="125" t="s">
        <v>32</v>
      </c>
      <c r="J3" s="137" t="s">
        <v>29</v>
      </c>
      <c r="K3" s="138" t="s">
        <v>31</v>
      </c>
      <c r="L3" s="125" t="s">
        <v>30</v>
      </c>
      <c r="M3" s="132" t="s">
        <v>29</v>
      </c>
      <c r="N3" s="131"/>
      <c r="O3" s="142"/>
      <c r="P3" s="139"/>
      <c r="Q3" s="133"/>
    </row>
    <row r="4" spans="1:25" ht="36.75" customHeight="1" thickBot="1" x14ac:dyDescent="0.3">
      <c r="C4" s="125"/>
      <c r="D4" s="134"/>
      <c r="E4" s="134"/>
      <c r="F4" s="134"/>
      <c r="G4" s="135"/>
      <c r="H4" s="136"/>
      <c r="I4" s="125"/>
      <c r="J4" s="137"/>
      <c r="K4" s="138"/>
      <c r="L4" s="125"/>
      <c r="M4" s="132"/>
      <c r="N4" s="131"/>
      <c r="O4" s="142"/>
      <c r="P4" s="139"/>
      <c r="Q4" s="133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65">
        <v>2.23</v>
      </c>
      <c r="E5" s="65">
        <v>2.0099999999999998</v>
      </c>
      <c r="F5" s="65">
        <v>0.93</v>
      </c>
      <c r="G5" s="59">
        <f t="shared" ref="G5:G20" si="0">(IF(D5&lt;1.5,1,0))+(IF(E5&lt;1,1,0))+(IF(F5&lt;0.8,1,0))</f>
        <v>0</v>
      </c>
      <c r="H5" s="112">
        <v>357724893.22000003</v>
      </c>
      <c r="I5" s="64">
        <v>54611115.439999998</v>
      </c>
      <c r="J5" s="59">
        <f t="shared" ref="J5:J20" si="1">IF(I5&lt;0,1,0)+IF(H5&lt;0,1,0)</f>
        <v>0</v>
      </c>
      <c r="K5" s="60">
        <f t="shared" ref="K5:K20" si="2">SUM(I5/1)</f>
        <v>54611115.439999998</v>
      </c>
      <c r="L5" s="61">
        <f t="shared" ref="L5:L20" si="3">+H5/K5</f>
        <v>6.55040444308493</v>
      </c>
      <c r="M5" s="102">
        <f t="shared" ref="M5:M20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103">
        <f>SUM(G5+J5+M5)</f>
        <v>0</v>
      </c>
      <c r="O5" s="113">
        <v>1</v>
      </c>
      <c r="P5" s="105">
        <v>70354514.489999995</v>
      </c>
      <c r="Q5" s="63">
        <v>-19491133.140000001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65">
        <v>2.5</v>
      </c>
      <c r="E6" s="65">
        <v>2.38</v>
      </c>
      <c r="F6" s="65">
        <v>1.44</v>
      </c>
      <c r="G6" s="59">
        <f t="shared" si="0"/>
        <v>0</v>
      </c>
      <c r="H6" s="64">
        <v>167286228.72</v>
      </c>
      <c r="I6" s="64">
        <v>20616931.050000001</v>
      </c>
      <c r="J6" s="59">
        <f t="shared" si="1"/>
        <v>0</v>
      </c>
      <c r="K6" s="60">
        <f>SUM(I6/1)</f>
        <v>20616931.050000001</v>
      </c>
      <c r="L6" s="61">
        <f t="shared" si="3"/>
        <v>8.1140218354661471</v>
      </c>
      <c r="M6" s="102">
        <f t="shared" si="4"/>
        <v>0</v>
      </c>
      <c r="N6" s="103">
        <f t="shared" ref="N6:N20" si="5">SUM(G6+J6+M6)</f>
        <v>0</v>
      </c>
      <c r="O6" s="104">
        <v>0</v>
      </c>
      <c r="P6" s="105">
        <v>24994924.690000001</v>
      </c>
      <c r="Q6" s="64">
        <v>49077260.969999999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65">
        <v>4.53</v>
      </c>
      <c r="E7" s="65">
        <v>4.3499999999999996</v>
      </c>
      <c r="F7" s="65">
        <v>3.78</v>
      </c>
      <c r="G7" s="59">
        <f t="shared" si="0"/>
        <v>0</v>
      </c>
      <c r="H7" s="64">
        <v>63588827.310000002</v>
      </c>
      <c r="I7" s="64">
        <v>727258.44</v>
      </c>
      <c r="J7" s="59">
        <f t="shared" si="1"/>
        <v>0</v>
      </c>
      <c r="K7" s="60">
        <f t="shared" si="2"/>
        <v>727258.44</v>
      </c>
      <c r="L7" s="61">
        <f t="shared" si="3"/>
        <v>87.43635523844867</v>
      </c>
      <c r="M7" s="102">
        <f t="shared" si="4"/>
        <v>0</v>
      </c>
      <c r="N7" s="103">
        <f>SUM(G7+J7+M7)</f>
        <v>0</v>
      </c>
      <c r="O7" s="104">
        <v>0</v>
      </c>
      <c r="P7" s="105">
        <v>1604480.43</v>
      </c>
      <c r="Q7" s="64">
        <v>50127070.140000001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65">
        <v>15.11</v>
      </c>
      <c r="E8" s="65">
        <v>14.85</v>
      </c>
      <c r="F8" s="65">
        <v>14.34</v>
      </c>
      <c r="G8" s="59">
        <f t="shared" si="0"/>
        <v>0</v>
      </c>
      <c r="H8" s="64">
        <v>145244317.66999999</v>
      </c>
      <c r="I8" s="64">
        <v>993881.03</v>
      </c>
      <c r="J8" s="59">
        <f t="shared" si="1"/>
        <v>0</v>
      </c>
      <c r="K8" s="60">
        <f t="shared" si="2"/>
        <v>993881.03</v>
      </c>
      <c r="L8" s="61">
        <f t="shared" si="3"/>
        <v>146.13853498139508</v>
      </c>
      <c r="M8" s="102">
        <f t="shared" si="4"/>
        <v>0</v>
      </c>
      <c r="N8" s="103">
        <f t="shared" si="5"/>
        <v>0</v>
      </c>
      <c r="O8" s="113">
        <v>1</v>
      </c>
      <c r="P8" s="105">
        <v>1777614.77</v>
      </c>
      <c r="Q8" s="64">
        <v>137330307.28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65">
        <v>3.9</v>
      </c>
      <c r="E9" s="65">
        <v>3.62</v>
      </c>
      <c r="F9" s="65">
        <v>3.28</v>
      </c>
      <c r="G9" s="59">
        <f t="shared" si="0"/>
        <v>0</v>
      </c>
      <c r="H9" s="64">
        <v>30852823.079999998</v>
      </c>
      <c r="I9" s="114">
        <v>-79255.42</v>
      </c>
      <c r="J9" s="91">
        <f t="shared" si="1"/>
        <v>1</v>
      </c>
      <c r="K9" s="90">
        <f t="shared" si="2"/>
        <v>-79255.42</v>
      </c>
      <c r="L9" s="61">
        <f t="shared" si="3"/>
        <v>-389.2834468607951</v>
      </c>
      <c r="M9" s="102">
        <f t="shared" si="4"/>
        <v>0</v>
      </c>
      <c r="N9" s="103">
        <f t="shared" si="5"/>
        <v>1</v>
      </c>
      <c r="O9" s="113">
        <v>1</v>
      </c>
      <c r="P9" s="105">
        <v>641603.24</v>
      </c>
      <c r="Q9" s="64">
        <v>24305504.09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65">
        <v>1.71</v>
      </c>
      <c r="E10" s="65">
        <v>1.61</v>
      </c>
      <c r="F10" s="65">
        <v>1.1200000000000001</v>
      </c>
      <c r="G10" s="59">
        <f t="shared" si="0"/>
        <v>0</v>
      </c>
      <c r="H10" s="64">
        <v>9406657.0199999996</v>
      </c>
      <c r="I10" s="64">
        <v>259451.28</v>
      </c>
      <c r="J10" s="59">
        <f t="shared" si="1"/>
        <v>0</v>
      </c>
      <c r="K10" s="60">
        <f t="shared" si="2"/>
        <v>259451.28</v>
      </c>
      <c r="L10" s="61">
        <f t="shared" si="3"/>
        <v>36.255966900606538</v>
      </c>
      <c r="M10" s="102">
        <f t="shared" si="4"/>
        <v>0</v>
      </c>
      <c r="N10" s="103">
        <f t="shared" si="5"/>
        <v>0</v>
      </c>
      <c r="O10" s="113">
        <v>1</v>
      </c>
      <c r="P10" s="105">
        <v>517516.97</v>
      </c>
      <c r="Q10" s="64">
        <v>1605845.53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65">
        <v>4.55</v>
      </c>
      <c r="E11" s="65">
        <v>4.37</v>
      </c>
      <c r="F11" s="65">
        <v>3.73</v>
      </c>
      <c r="G11" s="59">
        <f t="shared" si="0"/>
        <v>0</v>
      </c>
      <c r="H11" s="64">
        <v>232966576.52000001</v>
      </c>
      <c r="I11" s="63">
        <v>-3478085</v>
      </c>
      <c r="J11" s="91">
        <f t="shared" si="1"/>
        <v>1</v>
      </c>
      <c r="K11" s="90">
        <f t="shared" si="2"/>
        <v>-3478085</v>
      </c>
      <c r="L11" s="61">
        <f t="shared" si="3"/>
        <v>-66.981277490343103</v>
      </c>
      <c r="M11" s="102">
        <f t="shared" si="4"/>
        <v>0</v>
      </c>
      <c r="N11" s="103">
        <f t="shared" si="5"/>
        <v>1</v>
      </c>
      <c r="O11" s="113">
        <v>1</v>
      </c>
      <c r="P11" s="63">
        <v>-437362.19</v>
      </c>
      <c r="Q11" s="64">
        <v>176949927.84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65">
        <v>3.42</v>
      </c>
      <c r="E12" s="65">
        <v>2.95</v>
      </c>
      <c r="F12" s="65">
        <v>1.86</v>
      </c>
      <c r="G12" s="59">
        <f t="shared" si="0"/>
        <v>0</v>
      </c>
      <c r="H12" s="64">
        <v>24871501.43</v>
      </c>
      <c r="I12" s="63">
        <v>-1067354.3400000001</v>
      </c>
      <c r="J12" s="91">
        <f t="shared" si="1"/>
        <v>1</v>
      </c>
      <c r="K12" s="90">
        <f t="shared" si="2"/>
        <v>-1067354.3400000001</v>
      </c>
      <c r="L12" s="61">
        <f t="shared" si="3"/>
        <v>-23.302009930460393</v>
      </c>
      <c r="M12" s="102">
        <f t="shared" si="4"/>
        <v>0</v>
      </c>
      <c r="N12" s="103">
        <f t="shared" si="5"/>
        <v>1</v>
      </c>
      <c r="O12" s="113">
        <v>1</v>
      </c>
      <c r="P12" s="63">
        <v>-757428.84</v>
      </c>
      <c r="Q12" s="64">
        <v>8866385.0800000001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65">
        <v>7.66</v>
      </c>
      <c r="E13" s="65">
        <v>7.32</v>
      </c>
      <c r="F13" s="65">
        <v>6.74</v>
      </c>
      <c r="G13" s="59">
        <f t="shared" si="0"/>
        <v>0</v>
      </c>
      <c r="H13" s="64">
        <v>66786262.899999999</v>
      </c>
      <c r="I13" s="64">
        <v>387193.76</v>
      </c>
      <c r="J13" s="59">
        <f t="shared" si="1"/>
        <v>0</v>
      </c>
      <c r="K13" s="60">
        <f t="shared" si="2"/>
        <v>387193.76</v>
      </c>
      <c r="L13" s="61">
        <f t="shared" si="3"/>
        <v>172.48796287419506</v>
      </c>
      <c r="M13" s="102">
        <f t="shared" si="4"/>
        <v>0</v>
      </c>
      <c r="N13" s="103">
        <f t="shared" si="5"/>
        <v>0</v>
      </c>
      <c r="O13" s="113">
        <v>1</v>
      </c>
      <c r="P13" s="105">
        <v>979554.29</v>
      </c>
      <c r="Q13" s="64">
        <v>57574112.729999997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65">
        <v>7.62</v>
      </c>
      <c r="E14" s="65">
        <v>7.33</v>
      </c>
      <c r="F14" s="65">
        <v>6.02</v>
      </c>
      <c r="G14" s="59">
        <f t="shared" si="0"/>
        <v>0</v>
      </c>
      <c r="H14" s="64">
        <v>62430752.460000001</v>
      </c>
      <c r="I14" s="64">
        <v>3884149.09</v>
      </c>
      <c r="J14" s="59">
        <f t="shared" si="1"/>
        <v>0</v>
      </c>
      <c r="K14" s="60">
        <f t="shared" si="2"/>
        <v>3884149.09</v>
      </c>
      <c r="L14" s="61">
        <f t="shared" si="3"/>
        <v>16.073212179401693</v>
      </c>
      <c r="M14" s="102">
        <f t="shared" si="4"/>
        <v>0</v>
      </c>
      <c r="N14" s="103">
        <f t="shared" si="5"/>
        <v>0</v>
      </c>
      <c r="O14" s="104">
        <v>0</v>
      </c>
      <c r="P14" s="105">
        <v>4263630.0999999996</v>
      </c>
      <c r="Q14" s="64">
        <v>47387690.979999997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65">
        <v>6.65</v>
      </c>
      <c r="E15" s="65">
        <v>6.23</v>
      </c>
      <c r="F15" s="65">
        <v>5.54</v>
      </c>
      <c r="G15" s="59">
        <f t="shared" si="0"/>
        <v>0</v>
      </c>
      <c r="H15" s="64">
        <v>56692613.899999999</v>
      </c>
      <c r="I15" s="64">
        <v>2818373.46</v>
      </c>
      <c r="J15" s="59">
        <f t="shared" si="1"/>
        <v>0</v>
      </c>
      <c r="K15" s="60">
        <f t="shared" si="2"/>
        <v>2818373.46</v>
      </c>
      <c r="L15" s="61">
        <f t="shared" si="3"/>
        <v>20.115366080689675</v>
      </c>
      <c r="M15" s="102">
        <f t="shared" si="4"/>
        <v>0</v>
      </c>
      <c r="N15" s="103">
        <f t="shared" si="5"/>
        <v>0</v>
      </c>
      <c r="O15" s="113">
        <v>1</v>
      </c>
      <c r="P15" s="105">
        <v>3470617.52</v>
      </c>
      <c r="Q15" s="64">
        <v>45552882.130000003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65">
        <v>7.17</v>
      </c>
      <c r="E16" s="65">
        <v>6.77</v>
      </c>
      <c r="F16" s="65">
        <v>5.77</v>
      </c>
      <c r="G16" s="59">
        <f t="shared" si="0"/>
        <v>0</v>
      </c>
      <c r="H16" s="64">
        <v>122924142.92</v>
      </c>
      <c r="I16" s="112">
        <v>2391858.56</v>
      </c>
      <c r="J16" s="59">
        <f t="shared" si="1"/>
        <v>0</v>
      </c>
      <c r="K16" s="60">
        <f t="shared" si="2"/>
        <v>2391858.56</v>
      </c>
      <c r="L16" s="61">
        <f t="shared" si="3"/>
        <v>51.392730730700059</v>
      </c>
      <c r="M16" s="102">
        <f t="shared" si="4"/>
        <v>0</v>
      </c>
      <c r="N16" s="103">
        <f t="shared" si="5"/>
        <v>0</v>
      </c>
      <c r="O16" s="113">
        <v>1</v>
      </c>
      <c r="P16" s="105">
        <v>4582131.57</v>
      </c>
      <c r="Q16" s="64">
        <v>95016538.900000006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65">
        <v>2.99</v>
      </c>
      <c r="E17" s="65">
        <v>2.85</v>
      </c>
      <c r="F17" s="65">
        <v>2.57</v>
      </c>
      <c r="G17" s="59">
        <f t="shared" si="0"/>
        <v>0</v>
      </c>
      <c r="H17" s="64">
        <v>14119163.289999999</v>
      </c>
      <c r="I17" s="63">
        <v>-819268.49</v>
      </c>
      <c r="J17" s="91">
        <f t="shared" si="1"/>
        <v>1</v>
      </c>
      <c r="K17" s="90">
        <f t="shared" si="2"/>
        <v>-819268.49</v>
      </c>
      <c r="L17" s="61">
        <f t="shared" si="3"/>
        <v>-17.233865896636644</v>
      </c>
      <c r="M17" s="102">
        <f t="shared" si="4"/>
        <v>0</v>
      </c>
      <c r="N17" s="103">
        <f t="shared" si="5"/>
        <v>1</v>
      </c>
      <c r="O17" s="113">
        <v>1</v>
      </c>
      <c r="P17" s="63">
        <v>-530218.17000000004</v>
      </c>
      <c r="Q17" s="64">
        <v>11130023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65">
        <v>12.29</v>
      </c>
      <c r="E18" s="65">
        <v>12.16</v>
      </c>
      <c r="F18" s="65">
        <v>9.66</v>
      </c>
      <c r="G18" s="59">
        <f t="shared" si="0"/>
        <v>0</v>
      </c>
      <c r="H18" s="112">
        <v>186331620.62</v>
      </c>
      <c r="I18" s="64">
        <v>762358.37</v>
      </c>
      <c r="J18" s="59">
        <f t="shared" si="1"/>
        <v>0</v>
      </c>
      <c r="K18" s="60">
        <f t="shared" si="2"/>
        <v>762358.37</v>
      </c>
      <c r="L18" s="61">
        <f t="shared" si="3"/>
        <v>244.41473715307933</v>
      </c>
      <c r="M18" s="102">
        <f t="shared" si="4"/>
        <v>0</v>
      </c>
      <c r="N18" s="103">
        <f t="shared" si="5"/>
        <v>0</v>
      </c>
      <c r="O18" s="113">
        <v>1</v>
      </c>
      <c r="P18" s="105">
        <v>1404896.17</v>
      </c>
      <c r="Q18" s="64">
        <v>142964234.53999999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95">
        <v>1.34</v>
      </c>
      <c r="E19" s="65">
        <v>1.1200000000000001</v>
      </c>
      <c r="F19" s="95">
        <v>0.6</v>
      </c>
      <c r="G19" s="91">
        <f t="shared" si="0"/>
        <v>2</v>
      </c>
      <c r="H19" s="64">
        <v>3068635.4</v>
      </c>
      <c r="I19" s="64">
        <v>528901.74</v>
      </c>
      <c r="J19" s="59">
        <f t="shared" si="1"/>
        <v>0</v>
      </c>
      <c r="K19" s="60">
        <f t="shared" si="2"/>
        <v>528901.74</v>
      </c>
      <c r="L19" s="61">
        <f t="shared" si="3"/>
        <v>5.8019007462520351</v>
      </c>
      <c r="M19" s="102">
        <f t="shared" si="4"/>
        <v>0</v>
      </c>
      <c r="N19" s="103">
        <f t="shared" si="5"/>
        <v>2</v>
      </c>
      <c r="O19" s="113">
        <v>5</v>
      </c>
      <c r="P19" s="105">
        <v>872514.53</v>
      </c>
      <c r="Q19" s="63">
        <v>-3569035.06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65">
        <v>1.62</v>
      </c>
      <c r="E20" s="65">
        <v>1.44</v>
      </c>
      <c r="F20" s="65">
        <v>0.86</v>
      </c>
      <c r="G20" s="59">
        <f t="shared" si="0"/>
        <v>0</v>
      </c>
      <c r="H20" s="64">
        <v>4213346.8</v>
      </c>
      <c r="I20" s="64">
        <v>1031450.66</v>
      </c>
      <c r="J20" s="59">
        <f t="shared" si="1"/>
        <v>0</v>
      </c>
      <c r="K20" s="60">
        <f t="shared" si="2"/>
        <v>1031450.66</v>
      </c>
      <c r="L20" s="61">
        <f t="shared" si="3"/>
        <v>4.0848747917811208</v>
      </c>
      <c r="M20" s="102">
        <f t="shared" si="4"/>
        <v>0</v>
      </c>
      <c r="N20" s="115">
        <f t="shared" si="5"/>
        <v>0</v>
      </c>
      <c r="O20" s="113">
        <v>5</v>
      </c>
      <c r="P20" s="105">
        <v>1335727.42</v>
      </c>
      <c r="Q20" s="63">
        <v>-920472.71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40" t="s">
        <v>5</v>
      </c>
      <c r="M23" s="140"/>
      <c r="N23" s="140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40"/>
      <c r="M24" s="140"/>
      <c r="N24" s="140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40" t="s">
        <v>5</v>
      </c>
      <c r="M25" s="140"/>
      <c r="N25" s="140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40"/>
      <c r="M26" s="140"/>
      <c r="N26" s="140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41" t="s">
        <v>5</v>
      </c>
      <c r="L27" s="141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40" t="s">
        <v>5</v>
      </c>
      <c r="M30" s="140"/>
      <c r="N30" s="140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40"/>
      <c r="M31" s="140"/>
      <c r="N31" s="140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7">
      <colorScale>
        <cfvo type="min"/>
        <cfvo type="max"/>
        <color rgb="FFFCFCFF"/>
        <color rgb="FFF8696B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63" t="s">
        <v>109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1" t="s">
        <v>53</v>
      </c>
      <c r="P1" s="53"/>
      <c r="Q1" s="38"/>
    </row>
    <row r="2" spans="1:25" ht="54.75" customHeight="1" thickBot="1" x14ac:dyDescent="0.3">
      <c r="C2" s="125" t="s">
        <v>41</v>
      </c>
      <c r="D2" s="126" t="s">
        <v>40</v>
      </c>
      <c r="E2" s="126"/>
      <c r="F2" s="126"/>
      <c r="G2" s="126"/>
      <c r="H2" s="127" t="s">
        <v>39</v>
      </c>
      <c r="I2" s="127"/>
      <c r="J2" s="127"/>
      <c r="K2" s="128" t="s">
        <v>38</v>
      </c>
      <c r="L2" s="128"/>
      <c r="M2" s="128"/>
      <c r="N2" s="143" t="s">
        <v>110</v>
      </c>
      <c r="O2" s="149" t="s">
        <v>111</v>
      </c>
      <c r="P2" s="149" t="s">
        <v>56</v>
      </c>
      <c r="Q2" s="145" t="s">
        <v>60</v>
      </c>
    </row>
    <row r="3" spans="1:25" ht="38.25" customHeight="1" thickBot="1" x14ac:dyDescent="0.3">
      <c r="C3" s="125"/>
      <c r="D3" s="134" t="s">
        <v>36</v>
      </c>
      <c r="E3" s="134" t="s">
        <v>35</v>
      </c>
      <c r="F3" s="134" t="s">
        <v>34</v>
      </c>
      <c r="G3" s="135" t="s">
        <v>29</v>
      </c>
      <c r="H3" s="136" t="s">
        <v>33</v>
      </c>
      <c r="I3" s="125" t="s">
        <v>32</v>
      </c>
      <c r="J3" s="137" t="s">
        <v>29</v>
      </c>
      <c r="K3" s="138" t="s">
        <v>31</v>
      </c>
      <c r="L3" s="125" t="s">
        <v>30</v>
      </c>
      <c r="M3" s="144" t="s">
        <v>29</v>
      </c>
      <c r="N3" s="143"/>
      <c r="O3" s="149"/>
      <c r="P3" s="149"/>
      <c r="Q3" s="145"/>
    </row>
    <row r="4" spans="1:25" ht="36.75" customHeight="1" thickBot="1" x14ac:dyDescent="0.3">
      <c r="C4" s="125"/>
      <c r="D4" s="134"/>
      <c r="E4" s="134"/>
      <c r="F4" s="134"/>
      <c r="G4" s="135"/>
      <c r="H4" s="136"/>
      <c r="I4" s="125"/>
      <c r="J4" s="137"/>
      <c r="K4" s="138"/>
      <c r="L4" s="125"/>
      <c r="M4" s="144"/>
      <c r="N4" s="143"/>
      <c r="O4" s="149"/>
      <c r="P4" s="149"/>
      <c r="Q4" s="145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8" t="s">
        <v>28</v>
      </c>
      <c r="D5" s="59"/>
      <c r="E5" s="59"/>
      <c r="F5" s="59"/>
      <c r="G5" s="59">
        <f t="shared" ref="G5:G20" si="0">(IF(D5&lt;1.5,1,0))+(IF(E5&lt;1,1,0))+(IF(F5&lt;0.8,1,0))</f>
        <v>3</v>
      </c>
      <c r="H5" s="64"/>
      <c r="I5" s="63"/>
      <c r="J5" s="91">
        <f t="shared" ref="J5:J20" si="1">IF(I5&lt;0,1,0)+IF(H5&lt;0,1,0)</f>
        <v>0</v>
      </c>
      <c r="K5" s="90">
        <f>SUM(I5/10)</f>
        <v>0</v>
      </c>
      <c r="L5" s="75" t="e">
        <f>+H5/K5</f>
        <v>#DIV/0!</v>
      </c>
      <c r="M5" s="59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76">
        <f t="shared" ref="N5:N20" si="2">SUM(G5+J5+M5)</f>
        <v>3</v>
      </c>
      <c r="O5" s="76">
        <f>'มิ.ย.67'!N5</f>
        <v>1</v>
      </c>
      <c r="P5" s="64"/>
      <c r="Q5" s="64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8" t="s">
        <v>27</v>
      </c>
      <c r="D6" s="59"/>
      <c r="E6" s="59"/>
      <c r="F6" s="59"/>
      <c r="G6" s="59">
        <f t="shared" si="0"/>
        <v>3</v>
      </c>
      <c r="H6" s="64"/>
      <c r="I6" s="64"/>
      <c r="J6" s="59">
        <f>IF(I6&lt;0,1,0)+IF(H6&lt;0,1,0)</f>
        <v>0</v>
      </c>
      <c r="K6" s="60">
        <f t="shared" ref="K6:K20" si="3">SUM(I6/10)</f>
        <v>0</v>
      </c>
      <c r="L6" s="75" t="e">
        <f>+H6/K6</f>
        <v>#DIV/0!</v>
      </c>
      <c r="M6" s="59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76">
        <f>SUM(G6+J6+M6)</f>
        <v>3</v>
      </c>
      <c r="O6" s="76">
        <f>'มิ.ย.67'!N6</f>
        <v>0</v>
      </c>
      <c r="P6" s="64"/>
      <c r="Q6" s="64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8" t="s">
        <v>26</v>
      </c>
      <c r="D7" s="59"/>
      <c r="E7" s="59"/>
      <c r="F7" s="59"/>
      <c r="G7" s="59">
        <f t="shared" si="0"/>
        <v>3</v>
      </c>
      <c r="H7" s="64"/>
      <c r="I7" s="63"/>
      <c r="J7" s="91">
        <f t="shared" si="1"/>
        <v>0</v>
      </c>
      <c r="K7" s="90">
        <f t="shared" si="3"/>
        <v>0</v>
      </c>
      <c r="L7" s="75" t="e">
        <f t="shared" ref="L7:L20" si="5">+H7/K7</f>
        <v>#DIV/0!</v>
      </c>
      <c r="M7" s="59" t="b">
        <f t="shared" si="4"/>
        <v>0</v>
      </c>
      <c r="N7" s="76">
        <f t="shared" si="2"/>
        <v>3</v>
      </c>
      <c r="O7" s="76">
        <f>'มิ.ย.67'!N7</f>
        <v>0</v>
      </c>
      <c r="P7" s="63"/>
      <c r="Q7" s="64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8" t="s">
        <v>25</v>
      </c>
      <c r="D8" s="59"/>
      <c r="E8" s="59"/>
      <c r="F8" s="59"/>
      <c r="G8" s="59">
        <f t="shared" si="0"/>
        <v>3</v>
      </c>
      <c r="H8" s="64"/>
      <c r="I8" s="63"/>
      <c r="J8" s="91">
        <f t="shared" si="1"/>
        <v>0</v>
      </c>
      <c r="K8" s="90">
        <f t="shared" si="3"/>
        <v>0</v>
      </c>
      <c r="L8" s="75" t="e">
        <f t="shared" si="5"/>
        <v>#DIV/0!</v>
      </c>
      <c r="M8" s="59" t="b">
        <f t="shared" si="4"/>
        <v>0</v>
      </c>
      <c r="N8" s="76">
        <f t="shared" si="2"/>
        <v>3</v>
      </c>
      <c r="O8" s="76">
        <f>'มิ.ย.67'!N8</f>
        <v>1</v>
      </c>
      <c r="P8" s="63"/>
      <c r="Q8" s="64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8" t="s">
        <v>24</v>
      </c>
      <c r="D9" s="59"/>
      <c r="E9" s="65"/>
      <c r="F9" s="59"/>
      <c r="G9" s="59">
        <f t="shared" si="0"/>
        <v>3</v>
      </c>
      <c r="H9" s="64"/>
      <c r="I9" s="63"/>
      <c r="J9" s="91">
        <f t="shared" si="1"/>
        <v>0</v>
      </c>
      <c r="K9" s="90">
        <f t="shared" si="3"/>
        <v>0</v>
      </c>
      <c r="L9" s="75" t="e">
        <f t="shared" si="5"/>
        <v>#DIV/0!</v>
      </c>
      <c r="M9" s="59" t="b">
        <f t="shared" si="4"/>
        <v>0</v>
      </c>
      <c r="N9" s="76">
        <f t="shared" si="2"/>
        <v>3</v>
      </c>
      <c r="O9" s="76">
        <f>'มิ.ย.67'!N9</f>
        <v>1</v>
      </c>
      <c r="P9" s="63"/>
      <c r="Q9" s="64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8" t="s">
        <v>23</v>
      </c>
      <c r="D10" s="59"/>
      <c r="E10" s="59"/>
      <c r="F10" s="59"/>
      <c r="G10" s="59">
        <f t="shared" si="0"/>
        <v>3</v>
      </c>
      <c r="H10" s="64"/>
      <c r="I10" s="63"/>
      <c r="J10" s="91">
        <f t="shared" si="1"/>
        <v>0</v>
      </c>
      <c r="K10" s="90">
        <f t="shared" si="3"/>
        <v>0</v>
      </c>
      <c r="L10" s="75" t="e">
        <f t="shared" si="5"/>
        <v>#DIV/0!</v>
      </c>
      <c r="M10" s="59" t="b">
        <f t="shared" si="4"/>
        <v>0</v>
      </c>
      <c r="N10" s="76">
        <f t="shared" si="2"/>
        <v>3</v>
      </c>
      <c r="O10" s="76">
        <f>'มิ.ย.67'!N10</f>
        <v>7</v>
      </c>
      <c r="P10" s="63"/>
      <c r="Q10" s="64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8" t="s">
        <v>22</v>
      </c>
      <c r="D11" s="65"/>
      <c r="E11" s="59"/>
      <c r="F11" s="59"/>
      <c r="G11" s="59">
        <f t="shared" si="0"/>
        <v>3</v>
      </c>
      <c r="H11" s="64"/>
      <c r="I11" s="63"/>
      <c r="J11" s="91">
        <f t="shared" si="1"/>
        <v>0</v>
      </c>
      <c r="K11" s="90">
        <f t="shared" si="3"/>
        <v>0</v>
      </c>
      <c r="L11" s="75" t="e">
        <f t="shared" si="5"/>
        <v>#DIV/0!</v>
      </c>
      <c r="M11" s="59" t="b">
        <f t="shared" si="4"/>
        <v>0</v>
      </c>
      <c r="N11" s="76">
        <f t="shared" si="2"/>
        <v>3</v>
      </c>
      <c r="O11" s="76">
        <f>'มิ.ย.67'!N11</f>
        <v>1</v>
      </c>
      <c r="P11" s="63"/>
      <c r="Q11" s="64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8" t="s">
        <v>21</v>
      </c>
      <c r="D12" s="59"/>
      <c r="E12" s="59"/>
      <c r="F12" s="59"/>
      <c r="G12" s="59">
        <f t="shared" si="0"/>
        <v>3</v>
      </c>
      <c r="H12" s="64"/>
      <c r="I12" s="63"/>
      <c r="J12" s="91">
        <f t="shared" si="1"/>
        <v>0</v>
      </c>
      <c r="K12" s="90">
        <f t="shared" si="3"/>
        <v>0</v>
      </c>
      <c r="L12" s="75" t="e">
        <f t="shared" si="5"/>
        <v>#DIV/0!</v>
      </c>
      <c r="M12" s="59" t="b">
        <f t="shared" si="4"/>
        <v>0</v>
      </c>
      <c r="N12" s="76">
        <f t="shared" si="2"/>
        <v>3</v>
      </c>
      <c r="O12" s="76">
        <f>'มิ.ย.67'!N12</f>
        <v>4</v>
      </c>
      <c r="P12" s="63"/>
      <c r="Q12" s="64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8" t="s">
        <v>20</v>
      </c>
      <c r="D13" s="65"/>
      <c r="E13" s="65"/>
      <c r="F13" s="59"/>
      <c r="G13" s="59">
        <f t="shared" si="0"/>
        <v>3</v>
      </c>
      <c r="H13" s="64"/>
      <c r="I13" s="63"/>
      <c r="J13" s="91">
        <f t="shared" si="1"/>
        <v>0</v>
      </c>
      <c r="K13" s="90">
        <f t="shared" si="3"/>
        <v>0</v>
      </c>
      <c r="L13" s="75" t="e">
        <f t="shared" si="5"/>
        <v>#DIV/0!</v>
      </c>
      <c r="M13" s="59" t="b">
        <f t="shared" si="4"/>
        <v>0</v>
      </c>
      <c r="N13" s="76">
        <f t="shared" si="2"/>
        <v>3</v>
      </c>
      <c r="O13" s="76">
        <f>'มิ.ย.67'!N13</f>
        <v>1</v>
      </c>
      <c r="P13" s="63"/>
      <c r="Q13" s="64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8" t="s">
        <v>19</v>
      </c>
      <c r="D14" s="65"/>
      <c r="E14" s="65"/>
      <c r="F14" s="59"/>
      <c r="G14" s="59">
        <f t="shared" si="0"/>
        <v>3</v>
      </c>
      <c r="H14" s="64"/>
      <c r="I14" s="63"/>
      <c r="J14" s="91">
        <f t="shared" si="1"/>
        <v>0</v>
      </c>
      <c r="K14" s="90">
        <f t="shared" si="3"/>
        <v>0</v>
      </c>
      <c r="L14" s="75" t="e">
        <f t="shared" si="5"/>
        <v>#DIV/0!</v>
      </c>
      <c r="M14" s="59" t="b">
        <f t="shared" si="4"/>
        <v>0</v>
      </c>
      <c r="N14" s="76">
        <f t="shared" si="2"/>
        <v>3</v>
      </c>
      <c r="O14" s="76">
        <f>'มิ.ย.67'!N14</f>
        <v>1</v>
      </c>
      <c r="P14" s="63"/>
      <c r="Q14" s="64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8" t="s">
        <v>18</v>
      </c>
      <c r="D15" s="59"/>
      <c r="E15" s="59"/>
      <c r="F15" s="65"/>
      <c r="G15" s="59">
        <f t="shared" si="0"/>
        <v>3</v>
      </c>
      <c r="H15" s="64"/>
      <c r="I15" s="63"/>
      <c r="J15" s="91">
        <f t="shared" si="1"/>
        <v>0</v>
      </c>
      <c r="K15" s="90">
        <f t="shared" si="3"/>
        <v>0</v>
      </c>
      <c r="L15" s="75" t="e">
        <f t="shared" si="5"/>
        <v>#DIV/0!</v>
      </c>
      <c r="M15" s="59" t="b">
        <f t="shared" si="4"/>
        <v>0</v>
      </c>
      <c r="N15" s="76">
        <f t="shared" si="2"/>
        <v>3</v>
      </c>
      <c r="O15" s="76">
        <f>'มิ.ย.67'!N15</f>
        <v>1</v>
      </c>
      <c r="P15" s="63"/>
      <c r="Q15" s="64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8" t="s">
        <v>17</v>
      </c>
      <c r="D16" s="59"/>
      <c r="E16" s="59"/>
      <c r="F16" s="59"/>
      <c r="G16" s="59">
        <f t="shared" si="0"/>
        <v>3</v>
      </c>
      <c r="H16" s="64"/>
      <c r="I16" s="63"/>
      <c r="J16" s="91">
        <f t="shared" si="1"/>
        <v>0</v>
      </c>
      <c r="K16" s="90">
        <f t="shared" si="3"/>
        <v>0</v>
      </c>
      <c r="L16" s="75" t="e">
        <f t="shared" si="5"/>
        <v>#DIV/0!</v>
      </c>
      <c r="M16" s="59" t="b">
        <f t="shared" si="4"/>
        <v>0</v>
      </c>
      <c r="N16" s="76">
        <f t="shared" si="2"/>
        <v>3</v>
      </c>
      <c r="O16" s="76">
        <f>'มิ.ย.67'!N16</f>
        <v>1</v>
      </c>
      <c r="P16" s="63"/>
      <c r="Q16" s="64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8" t="s">
        <v>16</v>
      </c>
      <c r="D17" s="59"/>
      <c r="E17" s="59"/>
      <c r="F17" s="59"/>
      <c r="G17" s="59">
        <f t="shared" si="0"/>
        <v>3</v>
      </c>
      <c r="H17" s="64"/>
      <c r="I17" s="63"/>
      <c r="J17" s="91">
        <f t="shared" si="1"/>
        <v>0</v>
      </c>
      <c r="K17" s="90">
        <f t="shared" si="3"/>
        <v>0</v>
      </c>
      <c r="L17" s="75" t="e">
        <f t="shared" si="5"/>
        <v>#DIV/0!</v>
      </c>
      <c r="M17" s="59" t="b">
        <f t="shared" si="4"/>
        <v>0</v>
      </c>
      <c r="N17" s="76">
        <f t="shared" si="2"/>
        <v>3</v>
      </c>
      <c r="O17" s="76">
        <f>'มิ.ย.67'!N17</f>
        <v>2</v>
      </c>
      <c r="P17" s="63"/>
      <c r="Q17" s="64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8" t="s">
        <v>15</v>
      </c>
      <c r="D18" s="65"/>
      <c r="E18" s="59"/>
      <c r="F18" s="59"/>
      <c r="G18" s="59">
        <f t="shared" si="0"/>
        <v>3</v>
      </c>
      <c r="H18" s="64"/>
      <c r="I18" s="63"/>
      <c r="J18" s="91">
        <f t="shared" si="1"/>
        <v>0</v>
      </c>
      <c r="K18" s="90">
        <f t="shared" si="3"/>
        <v>0</v>
      </c>
      <c r="L18" s="75" t="e">
        <f t="shared" si="5"/>
        <v>#DIV/0!</v>
      </c>
      <c r="M18" s="59" t="b">
        <f t="shared" si="4"/>
        <v>0</v>
      </c>
      <c r="N18" s="76">
        <f t="shared" si="2"/>
        <v>3</v>
      </c>
      <c r="O18" s="76">
        <f>'มิ.ย.67'!N18</f>
        <v>1</v>
      </c>
      <c r="P18" s="63"/>
      <c r="Q18" s="64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8" t="s">
        <v>14</v>
      </c>
      <c r="D19" s="91"/>
      <c r="E19" s="59"/>
      <c r="F19" s="95"/>
      <c r="G19" s="91">
        <f t="shared" si="0"/>
        <v>3</v>
      </c>
      <c r="H19" s="64"/>
      <c r="I19" s="63"/>
      <c r="J19" s="91">
        <f t="shared" si="1"/>
        <v>0</v>
      </c>
      <c r="K19" s="90">
        <f t="shared" si="3"/>
        <v>0</v>
      </c>
      <c r="L19" s="75" t="e">
        <f t="shared" si="5"/>
        <v>#DIV/0!</v>
      </c>
      <c r="M19" s="91" t="b">
        <f t="shared" si="4"/>
        <v>0</v>
      </c>
      <c r="N19" s="93">
        <f t="shared" si="2"/>
        <v>3</v>
      </c>
      <c r="O19" s="94">
        <f>'มิ.ย.67'!N19</f>
        <v>5</v>
      </c>
      <c r="P19" s="63"/>
      <c r="Q19" s="63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8" t="s">
        <v>13</v>
      </c>
      <c r="D20" s="59"/>
      <c r="E20" s="59"/>
      <c r="F20" s="91"/>
      <c r="G20" s="91">
        <f t="shared" si="0"/>
        <v>3</v>
      </c>
      <c r="H20" s="64"/>
      <c r="I20" s="63"/>
      <c r="J20" s="91">
        <f t="shared" si="1"/>
        <v>0</v>
      </c>
      <c r="K20" s="90">
        <f t="shared" si="3"/>
        <v>0</v>
      </c>
      <c r="L20" s="75" t="e">
        <f t="shared" si="5"/>
        <v>#DIV/0!</v>
      </c>
      <c r="M20" s="59" t="b">
        <f t="shared" si="4"/>
        <v>0</v>
      </c>
      <c r="N20" s="92">
        <f t="shared" si="2"/>
        <v>3</v>
      </c>
      <c r="O20" s="94">
        <f>'มิ.ย.67'!N20</f>
        <v>5</v>
      </c>
      <c r="P20" s="63"/>
      <c r="Q20" s="63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86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40" t="s">
        <v>5</v>
      </c>
      <c r="M23" s="140"/>
      <c r="N23" s="140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40"/>
      <c r="M24" s="140"/>
      <c r="N24" s="140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40" t="s">
        <v>5</v>
      </c>
      <c r="M25" s="140"/>
      <c r="N25" s="140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40"/>
      <c r="M26" s="140"/>
      <c r="N26" s="140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41" t="s">
        <v>5</v>
      </c>
      <c r="L27" s="141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40" t="s">
        <v>5</v>
      </c>
      <c r="M30" s="140"/>
      <c r="N30" s="140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40"/>
      <c r="M31" s="140"/>
      <c r="N31" s="140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O18">
    <cfRule type="cellIs" dxfId="13" priority="1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 codeName="Sheet11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6.125" style="1" customWidth="1"/>
    <col min="15" max="15" width="13.375" style="1" customWidth="1"/>
    <col min="16" max="16" width="20.8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63" t="s">
        <v>112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1" t="s">
        <v>53</v>
      </c>
      <c r="P1" s="53"/>
      <c r="Q1" s="38"/>
    </row>
    <row r="2" spans="1:25" ht="54.75" customHeight="1" thickBot="1" x14ac:dyDescent="0.3">
      <c r="C2" s="125" t="s">
        <v>41</v>
      </c>
      <c r="D2" s="126" t="s">
        <v>40</v>
      </c>
      <c r="E2" s="126"/>
      <c r="F2" s="126"/>
      <c r="G2" s="126"/>
      <c r="H2" s="127" t="s">
        <v>39</v>
      </c>
      <c r="I2" s="127"/>
      <c r="J2" s="127"/>
      <c r="K2" s="128" t="s">
        <v>38</v>
      </c>
      <c r="L2" s="128"/>
      <c r="M2" s="128"/>
      <c r="N2" s="160" t="s">
        <v>113</v>
      </c>
      <c r="O2" s="149" t="s">
        <v>114</v>
      </c>
      <c r="P2" s="149" t="s">
        <v>56</v>
      </c>
      <c r="Q2" s="145" t="s">
        <v>60</v>
      </c>
    </row>
    <row r="3" spans="1:25" ht="38.25" customHeight="1" thickBot="1" x14ac:dyDescent="0.3">
      <c r="C3" s="125"/>
      <c r="D3" s="134" t="s">
        <v>36</v>
      </c>
      <c r="E3" s="134" t="s">
        <v>35</v>
      </c>
      <c r="F3" s="134" t="s">
        <v>34</v>
      </c>
      <c r="G3" s="135" t="s">
        <v>29</v>
      </c>
      <c r="H3" s="136" t="s">
        <v>33</v>
      </c>
      <c r="I3" s="125" t="s">
        <v>32</v>
      </c>
      <c r="J3" s="137" t="s">
        <v>29</v>
      </c>
      <c r="K3" s="138" t="s">
        <v>31</v>
      </c>
      <c r="L3" s="125" t="s">
        <v>30</v>
      </c>
      <c r="M3" s="144" t="s">
        <v>29</v>
      </c>
      <c r="N3" s="160"/>
      <c r="O3" s="149"/>
      <c r="P3" s="149"/>
      <c r="Q3" s="145"/>
    </row>
    <row r="4" spans="1:25" ht="36.75" customHeight="1" thickBot="1" x14ac:dyDescent="0.3">
      <c r="C4" s="125"/>
      <c r="D4" s="134"/>
      <c r="E4" s="134"/>
      <c r="F4" s="134"/>
      <c r="G4" s="135"/>
      <c r="H4" s="136"/>
      <c r="I4" s="125"/>
      <c r="J4" s="137"/>
      <c r="K4" s="138"/>
      <c r="L4" s="125"/>
      <c r="M4" s="144"/>
      <c r="N4" s="160"/>
      <c r="O4" s="149"/>
      <c r="P4" s="149"/>
      <c r="Q4" s="145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59"/>
      <c r="E5" s="59"/>
      <c r="F5" s="65"/>
      <c r="G5" s="59">
        <f t="shared" ref="G5:G20" si="0">(IF(D5&lt;1.5,1,0))+(IF(E5&lt;1,1,0))+(IF(F5&lt;0.8,1,0))</f>
        <v>3</v>
      </c>
      <c r="H5" s="99"/>
      <c r="I5" s="63"/>
      <c r="J5" s="91">
        <f t="shared" ref="J5:J20" si="1">IF(I5&lt;0,1,0)+IF(H5&lt;0,1,0)</f>
        <v>0</v>
      </c>
      <c r="K5" s="90">
        <f t="shared" ref="K5:K20" si="2">SUM(I5/11)</f>
        <v>0</v>
      </c>
      <c r="L5" s="61" t="e">
        <f>+H5/K5</f>
        <v>#DIV/0!</v>
      </c>
      <c r="M5" s="59" t="b">
        <f t="shared" ref="M5:M11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62">
        <f>SUM(G5+J5+M5)</f>
        <v>3</v>
      </c>
      <c r="O5" s="62">
        <f>'ก.ค.67'!N5</f>
        <v>3</v>
      </c>
      <c r="P5" s="63"/>
      <c r="Q5" s="100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59"/>
      <c r="E6" s="65"/>
      <c r="F6" s="59"/>
      <c r="G6" s="59">
        <f t="shared" si="0"/>
        <v>3</v>
      </c>
      <c r="H6" s="99"/>
      <c r="I6" s="63"/>
      <c r="J6" s="91">
        <f>IF(I6&lt;0,1,0)+IF(H6&lt;0,1,0)</f>
        <v>0</v>
      </c>
      <c r="K6" s="90">
        <f t="shared" si="2"/>
        <v>0</v>
      </c>
      <c r="L6" s="61" t="e">
        <f>+H6/K6</f>
        <v>#DIV/0!</v>
      </c>
      <c r="M6" s="59" t="b">
        <f t="shared" si="3"/>
        <v>0</v>
      </c>
      <c r="N6" s="62">
        <f>SUM(G6+J6+M6)</f>
        <v>3</v>
      </c>
      <c r="O6" s="62">
        <f>'ก.ค.67'!N6</f>
        <v>3</v>
      </c>
      <c r="P6" s="98"/>
      <c r="Q6" s="101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65"/>
      <c r="E7" s="59"/>
      <c r="F7" s="65"/>
      <c r="G7" s="59">
        <f t="shared" si="0"/>
        <v>3</v>
      </c>
      <c r="H7" s="99"/>
      <c r="I7" s="63"/>
      <c r="J7" s="91">
        <f t="shared" si="1"/>
        <v>0</v>
      </c>
      <c r="K7" s="90">
        <f t="shared" si="2"/>
        <v>0</v>
      </c>
      <c r="L7" s="61" t="e">
        <f t="shared" ref="L7:L20" si="4">+H7/K7</f>
        <v>#DIV/0!</v>
      </c>
      <c r="M7" s="59" t="b">
        <f t="shared" si="3"/>
        <v>0</v>
      </c>
      <c r="N7" s="62">
        <f t="shared" ref="N7:N20" si="5">SUM(G7+J7+M7)</f>
        <v>3</v>
      </c>
      <c r="O7" s="62">
        <f>'ก.ค.67'!N7</f>
        <v>3</v>
      </c>
      <c r="P7" s="63"/>
      <c r="Q7" s="101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59"/>
      <c r="E8" s="59"/>
      <c r="F8" s="65"/>
      <c r="G8" s="59">
        <f t="shared" si="0"/>
        <v>3</v>
      </c>
      <c r="H8" s="99"/>
      <c r="I8" s="63"/>
      <c r="J8" s="91">
        <f t="shared" si="1"/>
        <v>0</v>
      </c>
      <c r="K8" s="90">
        <f t="shared" si="2"/>
        <v>0</v>
      </c>
      <c r="L8" s="61" t="e">
        <f t="shared" si="4"/>
        <v>#DIV/0!</v>
      </c>
      <c r="M8" s="59" t="b">
        <f t="shared" si="3"/>
        <v>0</v>
      </c>
      <c r="N8" s="62">
        <f t="shared" si="5"/>
        <v>3</v>
      </c>
      <c r="O8" s="62">
        <f>'ก.ค.67'!N8</f>
        <v>3</v>
      </c>
      <c r="P8" s="63"/>
      <c r="Q8" s="101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59"/>
      <c r="E9" s="59"/>
      <c r="F9" s="59"/>
      <c r="G9" s="59">
        <f t="shared" si="0"/>
        <v>3</v>
      </c>
      <c r="H9" s="99"/>
      <c r="I9" s="63"/>
      <c r="J9" s="91">
        <f t="shared" si="1"/>
        <v>0</v>
      </c>
      <c r="K9" s="90">
        <f t="shared" si="2"/>
        <v>0</v>
      </c>
      <c r="L9" s="61" t="e">
        <f t="shared" si="4"/>
        <v>#DIV/0!</v>
      </c>
      <c r="M9" s="59" t="b">
        <f t="shared" si="3"/>
        <v>0</v>
      </c>
      <c r="N9" s="62">
        <f t="shared" si="5"/>
        <v>3</v>
      </c>
      <c r="O9" s="62">
        <f>'ก.ค.67'!N9</f>
        <v>3</v>
      </c>
      <c r="P9" s="63"/>
      <c r="Q9" s="101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59"/>
      <c r="E10" s="65"/>
      <c r="F10" s="59"/>
      <c r="G10" s="59">
        <f t="shared" si="0"/>
        <v>3</v>
      </c>
      <c r="H10" s="99"/>
      <c r="I10" s="63"/>
      <c r="J10" s="91">
        <f t="shared" si="1"/>
        <v>0</v>
      </c>
      <c r="K10" s="90">
        <f t="shared" si="2"/>
        <v>0</v>
      </c>
      <c r="L10" s="61" t="e">
        <f t="shared" si="4"/>
        <v>#DIV/0!</v>
      </c>
      <c r="M10" s="91" t="b">
        <f t="shared" si="3"/>
        <v>0</v>
      </c>
      <c r="N10" s="96">
        <f t="shared" si="5"/>
        <v>3</v>
      </c>
      <c r="O10" s="62">
        <f>'ก.ค.67'!N10</f>
        <v>3</v>
      </c>
      <c r="P10" s="63"/>
      <c r="Q10" s="101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59"/>
      <c r="E11" s="59"/>
      <c r="F11" s="59"/>
      <c r="G11" s="59">
        <f t="shared" si="0"/>
        <v>3</v>
      </c>
      <c r="H11" s="99"/>
      <c r="I11" s="63"/>
      <c r="J11" s="91">
        <f t="shared" si="1"/>
        <v>0</v>
      </c>
      <c r="K11" s="90">
        <f>SUM(I11/11)</f>
        <v>0</v>
      </c>
      <c r="L11" s="61" t="e">
        <f t="shared" si="4"/>
        <v>#DIV/0!</v>
      </c>
      <c r="M11" s="59" t="b">
        <f t="shared" si="3"/>
        <v>0</v>
      </c>
      <c r="N11" s="62">
        <f>SUM(G11+J11+M11)</f>
        <v>3</v>
      </c>
      <c r="O11" s="62">
        <f>'ก.ค.67'!N11</f>
        <v>3</v>
      </c>
      <c r="P11" s="63"/>
      <c r="Q11" s="101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59"/>
      <c r="E12" s="59"/>
      <c r="F12" s="59"/>
      <c r="G12" s="59">
        <f t="shared" si="0"/>
        <v>3</v>
      </c>
      <c r="H12" s="99"/>
      <c r="I12" s="63"/>
      <c r="J12" s="91">
        <f t="shared" si="1"/>
        <v>0</v>
      </c>
      <c r="K12" s="90">
        <f t="shared" si="2"/>
        <v>0</v>
      </c>
      <c r="L12" s="61" t="e">
        <f t="shared" si="4"/>
        <v>#DIV/0!</v>
      </c>
      <c r="M12" s="59" t="b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62">
        <f t="shared" si="5"/>
        <v>3</v>
      </c>
      <c r="O12" s="62">
        <f>'ก.ค.67'!N12</f>
        <v>3</v>
      </c>
      <c r="P12" s="63"/>
      <c r="Q12" s="101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59"/>
      <c r="E13" s="65"/>
      <c r="F13" s="65"/>
      <c r="G13" s="59">
        <f t="shared" si="0"/>
        <v>3</v>
      </c>
      <c r="H13" s="99"/>
      <c r="I13" s="63"/>
      <c r="J13" s="91">
        <f t="shared" si="1"/>
        <v>0</v>
      </c>
      <c r="K13" s="90">
        <f t="shared" si="2"/>
        <v>0</v>
      </c>
      <c r="L13" s="61" t="e">
        <f t="shared" si="4"/>
        <v>#DIV/0!</v>
      </c>
      <c r="M13" s="59" t="b">
        <f t="shared" si="6"/>
        <v>0</v>
      </c>
      <c r="N13" s="62">
        <f t="shared" si="5"/>
        <v>3</v>
      </c>
      <c r="O13" s="62">
        <f>'ก.ค.67'!N13</f>
        <v>3</v>
      </c>
      <c r="P13" s="63"/>
      <c r="Q13" s="101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59"/>
      <c r="E14" s="59"/>
      <c r="F14" s="59"/>
      <c r="G14" s="59">
        <f t="shared" si="0"/>
        <v>3</v>
      </c>
      <c r="H14" s="99"/>
      <c r="I14" s="63"/>
      <c r="J14" s="91">
        <f t="shared" si="1"/>
        <v>0</v>
      </c>
      <c r="K14" s="90">
        <f t="shared" si="2"/>
        <v>0</v>
      </c>
      <c r="L14" s="61" t="e">
        <f t="shared" si="4"/>
        <v>#DIV/0!</v>
      </c>
      <c r="M14" s="59" t="b">
        <f t="shared" si="6"/>
        <v>0</v>
      </c>
      <c r="N14" s="62">
        <f t="shared" si="5"/>
        <v>3</v>
      </c>
      <c r="O14" s="62">
        <f>'ก.ค.67'!N14</f>
        <v>3</v>
      </c>
      <c r="P14" s="63"/>
      <c r="Q14" s="101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59"/>
      <c r="E15" s="59"/>
      <c r="F15" s="59"/>
      <c r="G15" s="59">
        <f t="shared" si="0"/>
        <v>3</v>
      </c>
      <c r="H15" s="99"/>
      <c r="I15" s="63"/>
      <c r="J15" s="91">
        <f t="shared" si="1"/>
        <v>0</v>
      </c>
      <c r="K15" s="90">
        <f t="shared" si="2"/>
        <v>0</v>
      </c>
      <c r="L15" s="61" t="e">
        <f t="shared" si="4"/>
        <v>#DIV/0!</v>
      </c>
      <c r="M15" s="59" t="b">
        <f t="shared" si="6"/>
        <v>0</v>
      </c>
      <c r="N15" s="62">
        <f t="shared" si="5"/>
        <v>3</v>
      </c>
      <c r="O15" s="62">
        <f>'ก.ค.67'!N15</f>
        <v>3</v>
      </c>
      <c r="P15" s="63"/>
      <c r="Q15" s="101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59"/>
      <c r="E16" s="65"/>
      <c r="F16" s="59"/>
      <c r="G16" s="59">
        <f t="shared" si="0"/>
        <v>3</v>
      </c>
      <c r="H16" s="99"/>
      <c r="I16" s="63"/>
      <c r="J16" s="91">
        <f t="shared" si="1"/>
        <v>0</v>
      </c>
      <c r="K16" s="90">
        <f t="shared" si="2"/>
        <v>0</v>
      </c>
      <c r="L16" s="61" t="e">
        <f t="shared" si="4"/>
        <v>#DIV/0!</v>
      </c>
      <c r="M16" s="59" t="b">
        <f t="shared" si="6"/>
        <v>0</v>
      </c>
      <c r="N16" s="62">
        <f t="shared" si="5"/>
        <v>3</v>
      </c>
      <c r="O16" s="62">
        <f>'ก.ค.67'!N16</f>
        <v>3</v>
      </c>
      <c r="P16" s="63"/>
      <c r="Q16" s="101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59"/>
      <c r="E17" s="59"/>
      <c r="F17" s="59"/>
      <c r="G17" s="59">
        <f t="shared" si="0"/>
        <v>3</v>
      </c>
      <c r="H17" s="99"/>
      <c r="I17" s="63"/>
      <c r="J17" s="91">
        <f t="shared" si="1"/>
        <v>0</v>
      </c>
      <c r="K17" s="90">
        <f t="shared" si="2"/>
        <v>0</v>
      </c>
      <c r="L17" s="61" t="e">
        <f t="shared" si="4"/>
        <v>#DIV/0!</v>
      </c>
      <c r="M17" s="59" t="b">
        <f t="shared" si="6"/>
        <v>0</v>
      </c>
      <c r="N17" s="62">
        <f t="shared" si="5"/>
        <v>3</v>
      </c>
      <c r="O17" s="62">
        <f>'ก.ค.67'!N17</f>
        <v>3</v>
      </c>
      <c r="P17" s="63"/>
      <c r="Q17" s="101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59"/>
      <c r="E18" s="59"/>
      <c r="F18" s="65"/>
      <c r="G18" s="59">
        <f t="shared" si="0"/>
        <v>3</v>
      </c>
      <c r="H18" s="99"/>
      <c r="I18" s="63"/>
      <c r="J18" s="91">
        <f t="shared" si="1"/>
        <v>0</v>
      </c>
      <c r="K18" s="90">
        <f t="shared" si="2"/>
        <v>0</v>
      </c>
      <c r="L18" s="61" t="e">
        <f t="shared" si="4"/>
        <v>#DIV/0!</v>
      </c>
      <c r="M18" s="59" t="b">
        <f t="shared" si="6"/>
        <v>0</v>
      </c>
      <c r="N18" s="62">
        <f t="shared" si="5"/>
        <v>3</v>
      </c>
      <c r="O18" s="62">
        <f>'ก.ค.67'!N18</f>
        <v>3</v>
      </c>
      <c r="P18" s="63"/>
      <c r="Q18" s="101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59"/>
      <c r="E19" s="59"/>
      <c r="F19" s="95"/>
      <c r="G19" s="91">
        <f t="shared" si="0"/>
        <v>3</v>
      </c>
      <c r="H19" s="99"/>
      <c r="I19" s="63"/>
      <c r="J19" s="91">
        <f t="shared" si="1"/>
        <v>0</v>
      </c>
      <c r="K19" s="90">
        <f t="shared" si="2"/>
        <v>0</v>
      </c>
      <c r="L19" s="61" t="e">
        <f t="shared" si="4"/>
        <v>#DIV/0!</v>
      </c>
      <c r="M19" s="91" t="b">
        <f t="shared" si="6"/>
        <v>0</v>
      </c>
      <c r="N19" s="62">
        <f t="shared" si="5"/>
        <v>3</v>
      </c>
      <c r="O19" s="97">
        <f>'ก.ค.67'!N19</f>
        <v>3</v>
      </c>
      <c r="P19" s="63"/>
      <c r="Q19" s="100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59"/>
      <c r="E20" s="59"/>
      <c r="F20" s="95"/>
      <c r="G20" s="91">
        <f t="shared" si="0"/>
        <v>3</v>
      </c>
      <c r="H20" s="99"/>
      <c r="I20" s="66"/>
      <c r="J20" s="67">
        <f t="shared" si="1"/>
        <v>0</v>
      </c>
      <c r="K20" s="68">
        <f t="shared" si="2"/>
        <v>0</v>
      </c>
      <c r="L20" s="61" t="e">
        <f t="shared" si="4"/>
        <v>#DIV/0!</v>
      </c>
      <c r="M20" s="91" t="b">
        <f t="shared" si="6"/>
        <v>0</v>
      </c>
      <c r="N20" s="62">
        <f t="shared" si="5"/>
        <v>3</v>
      </c>
      <c r="O20" s="96">
        <f>'ก.ค.67'!N20</f>
        <v>3</v>
      </c>
      <c r="P20" s="63"/>
      <c r="Q20" s="100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40" t="s">
        <v>5</v>
      </c>
      <c r="M23" s="140"/>
      <c r="N23" s="140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40"/>
      <c r="M24" s="140"/>
      <c r="N24" s="140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40" t="s">
        <v>5</v>
      </c>
      <c r="M25" s="140"/>
      <c r="N25" s="140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40"/>
      <c r="M26" s="140"/>
      <c r="N26" s="140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41" t="s">
        <v>5</v>
      </c>
      <c r="L27" s="141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40" t="s">
        <v>5</v>
      </c>
      <c r="M30" s="140"/>
      <c r="N30" s="140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40"/>
      <c r="M31" s="140"/>
      <c r="N31" s="140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9 N11:N18">
    <cfRule type="cellIs" dxfId="12" priority="1" operator="greaterThan">
      <formula>0</formula>
    </cfRule>
  </conditionalFormatting>
  <conditionalFormatting sqref="N5:N9 N11:N20">
    <cfRule type="colorScale" priority="8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FFF00"/>
        <color rgb="FFFF0000"/>
      </colorScale>
    </cfRule>
    <cfRule type="colorScale" priority="11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CFCFF"/>
        <color rgb="FFF8696B"/>
      </colorScale>
    </cfRule>
  </conditionalFormatting>
  <conditionalFormatting sqref="N11:N20 N9">
    <cfRule type="colorScale" priority="9">
      <colorScale>
        <cfvo type="min"/>
        <cfvo type="max"/>
        <color rgb="FFFF7128"/>
        <color theme="6" tint="0.79998168889431442"/>
      </colorScale>
    </cfRule>
  </conditionalFormatting>
  <conditionalFormatting sqref="O5:O18">
    <cfRule type="cellIs" dxfId="11" priority="2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 codeName="Sheet12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N9" sqref="N9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63" t="s">
        <v>115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24"/>
      <c r="O1" s="11" t="s">
        <v>53</v>
      </c>
      <c r="P1" s="53"/>
      <c r="Q1" s="38"/>
    </row>
    <row r="2" spans="1:25" ht="54.75" customHeight="1" thickBot="1" x14ac:dyDescent="0.3">
      <c r="C2" s="125" t="s">
        <v>41</v>
      </c>
      <c r="D2" s="126" t="s">
        <v>40</v>
      </c>
      <c r="E2" s="126"/>
      <c r="F2" s="126"/>
      <c r="G2" s="126"/>
      <c r="H2" s="127" t="s">
        <v>39</v>
      </c>
      <c r="I2" s="127"/>
      <c r="J2" s="127"/>
      <c r="K2" s="128" t="s">
        <v>38</v>
      </c>
      <c r="L2" s="128"/>
      <c r="M2" s="129"/>
      <c r="N2" s="130" t="s">
        <v>116</v>
      </c>
      <c r="O2" s="164" t="s">
        <v>117</v>
      </c>
      <c r="P2" s="146" t="s">
        <v>56</v>
      </c>
      <c r="Q2" s="145" t="s">
        <v>60</v>
      </c>
    </row>
    <row r="3" spans="1:25" ht="38.25" customHeight="1" thickBot="1" x14ac:dyDescent="0.3">
      <c r="C3" s="125"/>
      <c r="D3" s="134" t="s">
        <v>36</v>
      </c>
      <c r="E3" s="134" t="s">
        <v>35</v>
      </c>
      <c r="F3" s="134" t="s">
        <v>34</v>
      </c>
      <c r="G3" s="135" t="s">
        <v>29</v>
      </c>
      <c r="H3" s="136" t="s">
        <v>33</v>
      </c>
      <c r="I3" s="125" t="s">
        <v>32</v>
      </c>
      <c r="J3" s="137" t="s">
        <v>29</v>
      </c>
      <c r="K3" s="138" t="s">
        <v>31</v>
      </c>
      <c r="L3" s="125" t="s">
        <v>30</v>
      </c>
      <c r="M3" s="132" t="s">
        <v>29</v>
      </c>
      <c r="N3" s="131"/>
      <c r="O3" s="164"/>
      <c r="P3" s="147"/>
      <c r="Q3" s="145"/>
    </row>
    <row r="4" spans="1:25" ht="36.75" customHeight="1" thickBot="1" x14ac:dyDescent="0.3">
      <c r="C4" s="125"/>
      <c r="D4" s="134"/>
      <c r="E4" s="134"/>
      <c r="F4" s="134"/>
      <c r="G4" s="135"/>
      <c r="H4" s="136"/>
      <c r="I4" s="125"/>
      <c r="J4" s="137"/>
      <c r="K4" s="138"/>
      <c r="L4" s="125"/>
      <c r="M4" s="132"/>
      <c r="N4" s="131"/>
      <c r="O4" s="164"/>
      <c r="P4" s="148"/>
      <c r="Q4" s="145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65"/>
      <c r="E5" s="59"/>
      <c r="F5" s="59"/>
      <c r="G5" s="59">
        <f t="shared" ref="G5:G20" si="0">(IF(D5&lt;1.5,1,0))+(IF(E5&lt;1,1,0))+(IF(F5&lt;0.8,1,0))</f>
        <v>3</v>
      </c>
      <c r="H5" s="64"/>
      <c r="I5" s="63"/>
      <c r="J5" s="91">
        <f t="shared" ref="J5:J20" si="1">IF(I5&lt;0,1,0)+IF(H5&lt;0,1,0)</f>
        <v>0</v>
      </c>
      <c r="K5" s="90">
        <f>SUM(I5/12)</f>
        <v>0</v>
      </c>
      <c r="L5" s="75" t="e">
        <f>+H5/K5</f>
        <v>#DIV/0!</v>
      </c>
      <c r="M5" s="102" t="b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103">
        <f>SUM(G5+J5+M5)</f>
        <v>3</v>
      </c>
      <c r="O5" s="104">
        <f>'ส.ค.67'!N5</f>
        <v>3</v>
      </c>
      <c r="P5" s="63"/>
      <c r="Q5" s="63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65"/>
      <c r="E6" s="59"/>
      <c r="F6" s="65"/>
      <c r="G6" s="59">
        <f t="shared" si="0"/>
        <v>3</v>
      </c>
      <c r="H6" s="64"/>
      <c r="I6" s="109"/>
      <c r="J6" s="111">
        <f>IF(I6&lt;0,1,0)+IF(H6&lt;0,1,0)</f>
        <v>0</v>
      </c>
      <c r="K6" s="110">
        <f t="shared" ref="K6:K20" si="3">SUM(I6/12)</f>
        <v>0</v>
      </c>
      <c r="L6" s="75" t="e">
        <f>+H6/K6</f>
        <v>#DIV/0!</v>
      </c>
      <c r="M6" s="102" t="b">
        <f t="shared" si="2"/>
        <v>0</v>
      </c>
      <c r="N6" s="103">
        <f>SUM(G6+J6+M6)</f>
        <v>3</v>
      </c>
      <c r="O6" s="104">
        <f>'ส.ค.67'!N6</f>
        <v>3</v>
      </c>
      <c r="P6" s="105"/>
      <c r="Q6" s="64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59"/>
      <c r="E7" s="59"/>
      <c r="F7" s="59"/>
      <c r="G7" s="59">
        <f t="shared" si="0"/>
        <v>3</v>
      </c>
      <c r="H7" s="64"/>
      <c r="I7" s="64"/>
      <c r="J7" s="59">
        <f t="shared" si="1"/>
        <v>0</v>
      </c>
      <c r="K7" s="60">
        <f t="shared" si="3"/>
        <v>0</v>
      </c>
      <c r="L7" s="75" t="e">
        <f t="shared" ref="L7:L20" si="4">+H7/K7</f>
        <v>#DIV/0!</v>
      </c>
      <c r="M7" s="102" t="b">
        <f t="shared" si="2"/>
        <v>0</v>
      </c>
      <c r="N7" s="103">
        <f t="shared" ref="N7:N20" si="5">SUM(G7+J7+M7)</f>
        <v>3</v>
      </c>
      <c r="O7" s="104">
        <f>'ส.ค.67'!N7</f>
        <v>3</v>
      </c>
      <c r="P7" s="105"/>
      <c r="Q7" s="64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59"/>
      <c r="E8" s="59"/>
      <c r="F8" s="59"/>
      <c r="G8" s="59">
        <f t="shared" si="0"/>
        <v>3</v>
      </c>
      <c r="H8" s="64"/>
      <c r="I8" s="63"/>
      <c r="J8" s="91">
        <f t="shared" si="1"/>
        <v>0</v>
      </c>
      <c r="K8" s="90">
        <f t="shared" si="3"/>
        <v>0</v>
      </c>
      <c r="L8" s="75" t="e">
        <f t="shared" si="4"/>
        <v>#DIV/0!</v>
      </c>
      <c r="M8" s="102" t="b">
        <f t="shared" si="2"/>
        <v>0</v>
      </c>
      <c r="N8" s="103">
        <f t="shared" si="5"/>
        <v>3</v>
      </c>
      <c r="O8" s="104">
        <f>'ส.ค.67'!N8</f>
        <v>3</v>
      </c>
      <c r="P8" s="63"/>
      <c r="Q8" s="64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59"/>
      <c r="E9" s="59"/>
      <c r="F9" s="59"/>
      <c r="G9" s="59">
        <f t="shared" si="0"/>
        <v>3</v>
      </c>
      <c r="H9" s="64"/>
      <c r="I9" s="63"/>
      <c r="J9" s="91">
        <f t="shared" si="1"/>
        <v>0</v>
      </c>
      <c r="K9" s="90">
        <f t="shared" si="3"/>
        <v>0</v>
      </c>
      <c r="L9" s="75" t="e">
        <f t="shared" si="4"/>
        <v>#DIV/0!</v>
      </c>
      <c r="M9" s="102" t="b">
        <f t="shared" si="2"/>
        <v>0</v>
      </c>
      <c r="N9" s="103">
        <f t="shared" si="5"/>
        <v>3</v>
      </c>
      <c r="O9" s="104">
        <f>'ส.ค.67'!N9</f>
        <v>3</v>
      </c>
      <c r="P9" s="63"/>
      <c r="Q9" s="64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65"/>
      <c r="E10" s="59"/>
      <c r="F10" s="59"/>
      <c r="G10" s="59">
        <f t="shared" si="0"/>
        <v>3</v>
      </c>
      <c r="H10" s="64"/>
      <c r="I10" s="63"/>
      <c r="J10" s="91">
        <f t="shared" si="1"/>
        <v>0</v>
      </c>
      <c r="K10" s="90">
        <f t="shared" si="3"/>
        <v>0</v>
      </c>
      <c r="L10" s="75" t="e">
        <f t="shared" si="4"/>
        <v>#DIV/0!</v>
      </c>
      <c r="M10" s="102" t="b">
        <f t="shared" si="2"/>
        <v>0</v>
      </c>
      <c r="N10" s="103">
        <f t="shared" si="5"/>
        <v>3</v>
      </c>
      <c r="O10" s="104">
        <f>'ส.ค.67'!N10</f>
        <v>3</v>
      </c>
      <c r="P10" s="63"/>
      <c r="Q10" s="63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59"/>
      <c r="E11" s="59"/>
      <c r="F11" s="59"/>
      <c r="G11" s="59">
        <f t="shared" si="0"/>
        <v>3</v>
      </c>
      <c r="H11" s="64"/>
      <c r="I11" s="63"/>
      <c r="J11" s="91">
        <f t="shared" si="1"/>
        <v>0</v>
      </c>
      <c r="K11" s="90">
        <f t="shared" si="3"/>
        <v>0</v>
      </c>
      <c r="L11" s="75" t="e">
        <f t="shared" si="4"/>
        <v>#DIV/0!</v>
      </c>
      <c r="M11" s="102" t="b">
        <f t="shared" si="2"/>
        <v>0</v>
      </c>
      <c r="N11" s="103">
        <f t="shared" si="5"/>
        <v>3</v>
      </c>
      <c r="O11" s="104">
        <f>'ส.ค.67'!N11</f>
        <v>3</v>
      </c>
      <c r="P11" s="63"/>
      <c r="Q11" s="64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65"/>
      <c r="E12" s="65"/>
      <c r="F12" s="65"/>
      <c r="G12" s="59">
        <f t="shared" si="0"/>
        <v>3</v>
      </c>
      <c r="H12" s="64"/>
      <c r="I12" s="63"/>
      <c r="J12" s="91">
        <f t="shared" si="1"/>
        <v>0</v>
      </c>
      <c r="K12" s="90">
        <f t="shared" si="3"/>
        <v>0</v>
      </c>
      <c r="L12" s="75" t="e">
        <f t="shared" si="4"/>
        <v>#DIV/0!</v>
      </c>
      <c r="M12" s="102" t="b">
        <f t="shared" si="2"/>
        <v>0</v>
      </c>
      <c r="N12" s="103">
        <f t="shared" si="5"/>
        <v>3</v>
      </c>
      <c r="O12" s="104">
        <f>'ส.ค.67'!N12</f>
        <v>3</v>
      </c>
      <c r="P12" s="63"/>
      <c r="Q12" s="64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65"/>
      <c r="E13" s="59"/>
      <c r="F13" s="59"/>
      <c r="G13" s="59">
        <f t="shared" si="0"/>
        <v>3</v>
      </c>
      <c r="H13" s="64"/>
      <c r="I13" s="63"/>
      <c r="J13" s="91">
        <f t="shared" si="1"/>
        <v>0</v>
      </c>
      <c r="K13" s="90">
        <f t="shared" si="3"/>
        <v>0</v>
      </c>
      <c r="L13" s="75" t="e">
        <f t="shared" si="4"/>
        <v>#DIV/0!</v>
      </c>
      <c r="M13" s="102" t="b">
        <f t="shared" si="2"/>
        <v>0</v>
      </c>
      <c r="N13" s="103">
        <f t="shared" si="5"/>
        <v>3</v>
      </c>
      <c r="O13" s="104">
        <f>'ส.ค.67'!N13</f>
        <v>3</v>
      </c>
      <c r="P13" s="63"/>
      <c r="Q13" s="64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65"/>
      <c r="E14" s="59"/>
      <c r="F14" s="59"/>
      <c r="G14" s="59">
        <f t="shared" si="0"/>
        <v>3</v>
      </c>
      <c r="H14" s="64"/>
      <c r="I14" s="64"/>
      <c r="J14" s="59">
        <f t="shared" si="1"/>
        <v>0</v>
      </c>
      <c r="K14" s="60">
        <f t="shared" si="3"/>
        <v>0</v>
      </c>
      <c r="L14" s="75" t="e">
        <f t="shared" si="4"/>
        <v>#DIV/0!</v>
      </c>
      <c r="M14" s="102" t="b">
        <f t="shared" si="2"/>
        <v>0</v>
      </c>
      <c r="N14" s="103">
        <f t="shared" si="5"/>
        <v>3</v>
      </c>
      <c r="O14" s="104">
        <f>'ส.ค.67'!N14</f>
        <v>3</v>
      </c>
      <c r="P14" s="105"/>
      <c r="Q14" s="64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59"/>
      <c r="E15" s="65"/>
      <c r="F15" s="59"/>
      <c r="G15" s="59">
        <f t="shared" si="0"/>
        <v>3</v>
      </c>
      <c r="H15" s="64"/>
      <c r="I15" s="63"/>
      <c r="J15" s="91">
        <f t="shared" si="1"/>
        <v>0</v>
      </c>
      <c r="K15" s="90">
        <f t="shared" si="3"/>
        <v>0</v>
      </c>
      <c r="L15" s="75" t="e">
        <f t="shared" si="4"/>
        <v>#DIV/0!</v>
      </c>
      <c r="M15" s="102" t="b">
        <f t="shared" si="2"/>
        <v>0</v>
      </c>
      <c r="N15" s="103">
        <f t="shared" si="5"/>
        <v>3</v>
      </c>
      <c r="O15" s="104">
        <f>'ส.ค.67'!N15</f>
        <v>3</v>
      </c>
      <c r="P15" s="63"/>
      <c r="Q15" s="64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65"/>
      <c r="E16" s="65"/>
      <c r="F16" s="65"/>
      <c r="G16" s="59">
        <f t="shared" si="0"/>
        <v>3</v>
      </c>
      <c r="H16" s="64"/>
      <c r="I16" s="63"/>
      <c r="J16" s="91">
        <f t="shared" si="1"/>
        <v>0</v>
      </c>
      <c r="K16" s="90">
        <f t="shared" si="3"/>
        <v>0</v>
      </c>
      <c r="L16" s="75" t="e">
        <f t="shared" si="4"/>
        <v>#DIV/0!</v>
      </c>
      <c r="M16" s="102" t="b">
        <f t="shared" si="2"/>
        <v>0</v>
      </c>
      <c r="N16" s="103">
        <f t="shared" si="5"/>
        <v>3</v>
      </c>
      <c r="O16" s="104">
        <f>'ส.ค.67'!N16</f>
        <v>3</v>
      </c>
      <c r="P16" s="63"/>
      <c r="Q16" s="64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59"/>
      <c r="E17" s="59"/>
      <c r="F17" s="65"/>
      <c r="G17" s="59">
        <f t="shared" si="0"/>
        <v>3</v>
      </c>
      <c r="H17" s="64"/>
      <c r="I17" s="63"/>
      <c r="J17" s="91">
        <f t="shared" si="1"/>
        <v>0</v>
      </c>
      <c r="K17" s="90">
        <f t="shared" si="3"/>
        <v>0</v>
      </c>
      <c r="L17" s="75" t="e">
        <f t="shared" si="4"/>
        <v>#DIV/0!</v>
      </c>
      <c r="M17" s="102" t="b">
        <f t="shared" si="2"/>
        <v>0</v>
      </c>
      <c r="N17" s="103">
        <f t="shared" si="5"/>
        <v>3</v>
      </c>
      <c r="O17" s="104">
        <f>'ส.ค.67'!N17</f>
        <v>3</v>
      </c>
      <c r="P17" s="63"/>
      <c r="Q17" s="64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65"/>
      <c r="E18" s="59"/>
      <c r="F18" s="59"/>
      <c r="G18" s="59">
        <f t="shared" si="0"/>
        <v>3</v>
      </c>
      <c r="H18" s="64"/>
      <c r="I18" s="63"/>
      <c r="J18" s="91">
        <f t="shared" si="1"/>
        <v>0</v>
      </c>
      <c r="K18" s="90">
        <f t="shared" si="3"/>
        <v>0</v>
      </c>
      <c r="L18" s="75" t="e">
        <f t="shared" si="4"/>
        <v>#DIV/0!</v>
      </c>
      <c r="M18" s="102" t="b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103">
        <f t="shared" si="5"/>
        <v>3</v>
      </c>
      <c r="O18" s="104">
        <f>'ส.ค.67'!N18</f>
        <v>3</v>
      </c>
      <c r="P18" s="63"/>
      <c r="Q18" s="64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91"/>
      <c r="E19" s="59"/>
      <c r="F19" s="91"/>
      <c r="G19" s="91">
        <f t="shared" si="0"/>
        <v>3</v>
      </c>
      <c r="H19" s="64"/>
      <c r="I19" s="63"/>
      <c r="J19" s="91">
        <f t="shared" si="1"/>
        <v>0</v>
      </c>
      <c r="K19" s="90">
        <f t="shared" si="3"/>
        <v>0</v>
      </c>
      <c r="L19" s="75" t="e">
        <f t="shared" si="4"/>
        <v>#DIV/0!</v>
      </c>
      <c r="M19" s="106" t="b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107">
        <f t="shared" si="5"/>
        <v>3</v>
      </c>
      <c r="O19" s="104">
        <f>'ส.ค.67'!N19</f>
        <v>3</v>
      </c>
      <c r="P19" s="63"/>
      <c r="Q19" s="63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91"/>
      <c r="E20" s="59"/>
      <c r="F20" s="95"/>
      <c r="G20" s="91">
        <f t="shared" si="0"/>
        <v>3</v>
      </c>
      <c r="H20" s="64"/>
      <c r="I20" s="63"/>
      <c r="J20" s="91">
        <f t="shared" si="1"/>
        <v>0</v>
      </c>
      <c r="K20" s="90">
        <f t="shared" si="3"/>
        <v>0</v>
      </c>
      <c r="L20" s="75" t="e">
        <f t="shared" si="4"/>
        <v>#DIV/0!</v>
      </c>
      <c r="M20" s="106" t="b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108">
        <f t="shared" si="5"/>
        <v>3</v>
      </c>
      <c r="O20" s="104">
        <f>'ส.ค.67'!N20</f>
        <v>3</v>
      </c>
      <c r="P20" s="63"/>
      <c r="Q20" s="63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40" t="s">
        <v>5</v>
      </c>
      <c r="M23" s="140"/>
      <c r="N23" s="140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40"/>
      <c r="M24" s="140"/>
      <c r="N24" s="140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40" t="s">
        <v>5</v>
      </c>
      <c r="M25" s="140"/>
      <c r="N25" s="140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40"/>
      <c r="M26" s="140"/>
      <c r="N26" s="140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41" t="s">
        <v>5</v>
      </c>
      <c r="L27" s="141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40" t="s">
        <v>5</v>
      </c>
      <c r="M30" s="140"/>
      <c r="N30" s="140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40"/>
      <c r="M31" s="140"/>
      <c r="N31" s="140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18">
    <cfRule type="cellIs" dxfId="10" priority="1" operator="greaterThan">
      <formula>0</formula>
    </cfRule>
  </conditionalFormatting>
  <conditionalFormatting sqref="O5:O20">
    <cfRule type="colorScale" priority="2">
      <colorScale>
        <cfvo type="min"/>
        <cfvo type="max"/>
        <color rgb="FFFCFCFF"/>
        <color rgb="FFF8696B"/>
      </colorScale>
    </cfRule>
    <cfRule type="colorScale" priority="4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3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DAF08-CEDB-447F-9B11-94C50362F248}">
  <dimension ref="A1:J18"/>
  <sheetViews>
    <sheetView workbookViewId="0">
      <selection activeCell="I3" sqref="I3:J18"/>
    </sheetView>
  </sheetViews>
  <sheetFormatPr defaultRowHeight="14.25" x14ac:dyDescent="0.2"/>
  <cols>
    <col min="1" max="1" width="15" customWidth="1"/>
    <col min="8" max="8" width="16.375" customWidth="1"/>
    <col min="9" max="9" width="15.625" customWidth="1"/>
    <col min="10" max="10" width="11.625" customWidth="1"/>
  </cols>
  <sheetData>
    <row r="1" spans="1:10" ht="30" customHeight="1" thickBot="1" x14ac:dyDescent="0.25">
      <c r="A1" s="125"/>
      <c r="B1" s="134" t="s">
        <v>61</v>
      </c>
      <c r="C1" s="134" t="s">
        <v>62</v>
      </c>
      <c r="D1" s="134" t="s">
        <v>63</v>
      </c>
      <c r="E1" s="152" t="s">
        <v>64</v>
      </c>
      <c r="F1" s="152" t="s">
        <v>65</v>
      </c>
      <c r="G1" s="152" t="s">
        <v>66</v>
      </c>
      <c r="H1" s="77"/>
      <c r="I1" s="155" t="s">
        <v>67</v>
      </c>
      <c r="J1" s="146" t="s">
        <v>56</v>
      </c>
    </row>
    <row r="2" spans="1:10" ht="30" customHeight="1" thickBot="1" x14ac:dyDescent="0.25">
      <c r="A2" s="125"/>
      <c r="B2" s="134"/>
      <c r="C2" s="134"/>
      <c r="D2" s="134"/>
      <c r="E2" s="165"/>
      <c r="F2" s="165"/>
      <c r="G2" s="165"/>
      <c r="H2" s="79"/>
      <c r="I2" s="166"/>
      <c r="J2" s="147"/>
    </row>
    <row r="3" spans="1:10" ht="26.25" customHeight="1" thickBot="1" x14ac:dyDescent="0.25">
      <c r="A3" s="50" t="s">
        <v>68</v>
      </c>
      <c r="B3" s="59"/>
      <c r="C3" s="59"/>
      <c r="D3" s="59"/>
      <c r="E3" s="65">
        <v>1.5</v>
      </c>
      <c r="F3" s="65">
        <v>1</v>
      </c>
      <c r="G3" s="65">
        <v>0.8</v>
      </c>
      <c r="H3" s="50" t="s">
        <v>68</v>
      </c>
      <c r="I3" s="81"/>
      <c r="J3" s="83"/>
    </row>
    <row r="4" spans="1:10" ht="26.25" customHeight="1" thickBot="1" x14ac:dyDescent="0.25">
      <c r="A4" s="50" t="s">
        <v>69</v>
      </c>
      <c r="B4" s="59"/>
      <c r="C4" s="59"/>
      <c r="D4" s="59"/>
      <c r="E4" s="65">
        <v>1.5</v>
      </c>
      <c r="F4" s="65">
        <v>1</v>
      </c>
      <c r="G4" s="65">
        <v>0.8</v>
      </c>
      <c r="H4" s="50" t="s">
        <v>69</v>
      </c>
      <c r="I4" s="81"/>
      <c r="J4" s="80"/>
    </row>
    <row r="5" spans="1:10" ht="26.25" customHeight="1" thickBot="1" x14ac:dyDescent="0.25">
      <c r="A5" s="50" t="s">
        <v>70</v>
      </c>
      <c r="B5" s="59"/>
      <c r="C5" s="59"/>
      <c r="D5" s="59"/>
      <c r="E5" s="65">
        <v>1.5</v>
      </c>
      <c r="F5" s="65">
        <v>1</v>
      </c>
      <c r="G5" s="65">
        <v>0.8</v>
      </c>
      <c r="H5" s="50" t="s">
        <v>70</v>
      </c>
      <c r="I5" s="81"/>
      <c r="J5" s="83"/>
    </row>
    <row r="6" spans="1:10" ht="26.25" customHeight="1" thickBot="1" x14ac:dyDescent="0.25">
      <c r="A6" s="50" t="s">
        <v>71</v>
      </c>
      <c r="B6" s="59"/>
      <c r="C6" s="59"/>
      <c r="D6" s="59"/>
      <c r="E6" s="65">
        <v>1.5</v>
      </c>
      <c r="F6" s="65">
        <v>1</v>
      </c>
      <c r="G6" s="65">
        <v>0.8</v>
      </c>
      <c r="H6" s="50" t="s">
        <v>71</v>
      </c>
      <c r="I6" s="81"/>
      <c r="J6" s="83"/>
    </row>
    <row r="7" spans="1:10" ht="26.25" customHeight="1" thickBot="1" x14ac:dyDescent="0.25">
      <c r="A7" s="50" t="s">
        <v>72</v>
      </c>
      <c r="B7" s="59"/>
      <c r="C7" s="65"/>
      <c r="D7" s="59"/>
      <c r="E7" s="65">
        <v>1.5</v>
      </c>
      <c r="F7" s="65">
        <v>1</v>
      </c>
      <c r="G7" s="65">
        <v>0.8</v>
      </c>
      <c r="H7" s="50" t="s">
        <v>72</v>
      </c>
      <c r="I7" s="81"/>
      <c r="J7" s="83"/>
    </row>
    <row r="8" spans="1:10" ht="26.25" customHeight="1" thickBot="1" x14ac:dyDescent="0.25">
      <c r="A8" s="50" t="s">
        <v>73</v>
      </c>
      <c r="B8" s="59"/>
      <c r="C8" s="59"/>
      <c r="D8" s="59"/>
      <c r="E8" s="65">
        <v>1.5</v>
      </c>
      <c r="F8" s="65">
        <v>1</v>
      </c>
      <c r="G8" s="65">
        <v>0.8</v>
      </c>
      <c r="H8" s="50" t="s">
        <v>73</v>
      </c>
      <c r="I8" s="81"/>
      <c r="J8" s="83"/>
    </row>
    <row r="9" spans="1:10" ht="26.25" customHeight="1" thickBot="1" x14ac:dyDescent="0.25">
      <c r="A9" s="50" t="s">
        <v>74</v>
      </c>
      <c r="B9" s="65"/>
      <c r="C9" s="59"/>
      <c r="D9" s="59"/>
      <c r="E9" s="65">
        <v>1.5</v>
      </c>
      <c r="F9" s="65">
        <v>1</v>
      </c>
      <c r="G9" s="65">
        <v>0.8</v>
      </c>
      <c r="H9" s="50" t="s">
        <v>74</v>
      </c>
      <c r="I9" s="81"/>
      <c r="J9" s="83"/>
    </row>
    <row r="10" spans="1:10" ht="26.25" customHeight="1" thickBot="1" x14ac:dyDescent="0.25">
      <c r="A10" s="50" t="s">
        <v>75</v>
      </c>
      <c r="B10" s="59"/>
      <c r="C10" s="59"/>
      <c r="D10" s="59"/>
      <c r="E10" s="65">
        <v>1.5</v>
      </c>
      <c r="F10" s="65">
        <v>1</v>
      </c>
      <c r="G10" s="65">
        <v>0.8</v>
      </c>
      <c r="H10" s="50" t="s">
        <v>75</v>
      </c>
      <c r="I10" s="81"/>
      <c r="J10" s="83"/>
    </row>
    <row r="11" spans="1:10" ht="26.25" customHeight="1" thickBot="1" x14ac:dyDescent="0.25">
      <c r="A11" s="50" t="s">
        <v>76</v>
      </c>
      <c r="B11" s="65"/>
      <c r="C11" s="65"/>
      <c r="D11" s="59"/>
      <c r="E11" s="65">
        <v>1.5</v>
      </c>
      <c r="F11" s="65">
        <v>1</v>
      </c>
      <c r="G11" s="65">
        <v>0.8</v>
      </c>
      <c r="H11" s="50" t="s">
        <v>76</v>
      </c>
      <c r="I11" s="81"/>
      <c r="J11" s="83"/>
    </row>
    <row r="12" spans="1:10" ht="26.25" customHeight="1" thickBot="1" x14ac:dyDescent="0.25">
      <c r="A12" s="50" t="s">
        <v>77</v>
      </c>
      <c r="B12" s="65"/>
      <c r="C12" s="65"/>
      <c r="D12" s="59"/>
      <c r="E12" s="65">
        <v>1.5</v>
      </c>
      <c r="F12" s="65">
        <v>1</v>
      </c>
      <c r="G12" s="65">
        <v>0.8</v>
      </c>
      <c r="H12" s="50" t="s">
        <v>77</v>
      </c>
      <c r="I12" s="81"/>
      <c r="J12" s="80"/>
    </row>
    <row r="13" spans="1:10" ht="26.25" customHeight="1" thickBot="1" x14ac:dyDescent="0.25">
      <c r="A13" s="50" t="s">
        <v>18</v>
      </c>
      <c r="B13" s="59"/>
      <c r="C13" s="59"/>
      <c r="D13" s="65"/>
      <c r="E13" s="65">
        <v>1.5</v>
      </c>
      <c r="F13" s="65">
        <v>1</v>
      </c>
      <c r="G13" s="65">
        <v>0.8</v>
      </c>
      <c r="H13" s="50" t="s">
        <v>18</v>
      </c>
      <c r="I13" s="81"/>
      <c r="J13" s="83"/>
    </row>
    <row r="14" spans="1:10" ht="26.25" customHeight="1" thickBot="1" x14ac:dyDescent="0.25">
      <c r="A14" s="50" t="s">
        <v>78</v>
      </c>
      <c r="B14" s="59"/>
      <c r="C14" s="59"/>
      <c r="D14" s="59"/>
      <c r="E14" s="65">
        <v>1.5</v>
      </c>
      <c r="F14" s="65">
        <v>1</v>
      </c>
      <c r="G14" s="65">
        <v>0.8</v>
      </c>
      <c r="H14" s="50" t="s">
        <v>78</v>
      </c>
      <c r="I14" s="81"/>
      <c r="J14" s="83"/>
    </row>
    <row r="15" spans="1:10" ht="26.25" customHeight="1" thickBot="1" x14ac:dyDescent="0.25">
      <c r="A15" s="50" t="s">
        <v>79</v>
      </c>
      <c r="B15" s="59"/>
      <c r="C15" s="59"/>
      <c r="D15" s="59"/>
      <c r="E15" s="65">
        <v>1.5</v>
      </c>
      <c r="F15" s="65">
        <v>1</v>
      </c>
      <c r="G15" s="65">
        <v>0.8</v>
      </c>
      <c r="H15" s="50" t="s">
        <v>79</v>
      </c>
      <c r="I15" s="81"/>
      <c r="J15" s="83"/>
    </row>
    <row r="16" spans="1:10" ht="26.25" customHeight="1" thickBot="1" x14ac:dyDescent="0.25">
      <c r="A16" s="50" t="s">
        <v>80</v>
      </c>
      <c r="B16" s="65"/>
      <c r="C16" s="59"/>
      <c r="D16" s="59"/>
      <c r="E16" s="65">
        <v>1.5</v>
      </c>
      <c r="F16" s="65">
        <v>1</v>
      </c>
      <c r="G16" s="65">
        <v>0.8</v>
      </c>
      <c r="H16" s="50" t="s">
        <v>80</v>
      </c>
      <c r="I16" s="81"/>
      <c r="J16" s="83"/>
    </row>
    <row r="17" spans="1:10" ht="26.25" customHeight="1" thickBot="1" x14ac:dyDescent="0.25">
      <c r="A17" s="50" t="s">
        <v>81</v>
      </c>
      <c r="B17" s="91"/>
      <c r="C17" s="59"/>
      <c r="D17" s="95"/>
      <c r="E17" s="65">
        <v>1.5</v>
      </c>
      <c r="F17" s="65">
        <v>1</v>
      </c>
      <c r="G17" s="65">
        <v>0.8</v>
      </c>
      <c r="H17" s="50" t="s">
        <v>81</v>
      </c>
      <c r="I17" s="81"/>
      <c r="J17" s="83"/>
    </row>
    <row r="18" spans="1:10" ht="26.25" customHeight="1" thickBot="1" x14ac:dyDescent="0.25">
      <c r="A18" s="50" t="s">
        <v>82</v>
      </c>
      <c r="B18" s="59"/>
      <c r="C18" s="59"/>
      <c r="D18" s="91"/>
      <c r="E18" s="65">
        <v>1.5</v>
      </c>
      <c r="F18" s="65">
        <v>1</v>
      </c>
      <c r="G18" s="65">
        <v>0.8</v>
      </c>
      <c r="H18" s="50" t="s">
        <v>82</v>
      </c>
      <c r="I18" s="81"/>
      <c r="J18" s="83"/>
    </row>
  </sheetData>
  <mergeCells count="9">
    <mergeCell ref="G1:G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F2BFF-080D-4002-90CD-E7D28097FFFA}">
  <dimension ref="A1:R17"/>
  <sheetViews>
    <sheetView workbookViewId="0">
      <selection activeCell="Q2" sqref="Q2:R17"/>
    </sheetView>
  </sheetViews>
  <sheetFormatPr defaultRowHeight="21.75" customHeight="1" x14ac:dyDescent="0.25"/>
  <cols>
    <col min="1" max="1" width="9.125" style="123" bestFit="1" customWidth="1"/>
    <col min="2" max="7" width="9" style="123"/>
    <col min="8" max="10" width="9.125" style="123" bestFit="1" customWidth="1"/>
    <col min="11" max="12" width="11.625" style="123" bestFit="1" customWidth="1"/>
    <col min="13" max="16" width="9.125" style="123" bestFit="1" customWidth="1"/>
    <col min="17" max="17" width="11.625" style="123" bestFit="1" customWidth="1"/>
    <col min="18" max="18" width="14" style="123" bestFit="1" customWidth="1"/>
    <col min="19" max="16384" width="9" style="123"/>
  </cols>
  <sheetData>
    <row r="1" spans="1:18" ht="21.75" customHeight="1" x14ac:dyDescent="0.3">
      <c r="A1" s="167" t="s">
        <v>118</v>
      </c>
      <c r="B1" s="167" t="s">
        <v>119</v>
      </c>
      <c r="C1" s="167" t="s">
        <v>120</v>
      </c>
      <c r="D1" s="167" t="s">
        <v>121</v>
      </c>
      <c r="E1" s="167" t="s">
        <v>122</v>
      </c>
      <c r="F1" s="167" t="s">
        <v>123</v>
      </c>
      <c r="G1" s="167" t="s">
        <v>124</v>
      </c>
      <c r="H1" s="167" t="s">
        <v>125</v>
      </c>
      <c r="I1" s="167" t="s">
        <v>126</v>
      </c>
      <c r="J1" s="167" t="s">
        <v>127</v>
      </c>
      <c r="K1" s="167" t="s">
        <v>128</v>
      </c>
      <c r="L1" s="167" t="s">
        <v>129</v>
      </c>
      <c r="M1" s="167" t="s">
        <v>130</v>
      </c>
      <c r="N1" s="167" t="s">
        <v>131</v>
      </c>
      <c r="O1" s="167" t="s">
        <v>132</v>
      </c>
      <c r="P1" s="167" t="s">
        <v>133</v>
      </c>
      <c r="Q1" s="167" t="s">
        <v>56</v>
      </c>
      <c r="R1" s="167" t="s">
        <v>134</v>
      </c>
    </row>
    <row r="2" spans="1:18" ht="21.75" customHeight="1" x14ac:dyDescent="0.3">
      <c r="A2" s="168">
        <v>4</v>
      </c>
      <c r="B2" s="169" t="s">
        <v>135</v>
      </c>
      <c r="C2" s="169" t="s">
        <v>136</v>
      </c>
      <c r="D2" s="169" t="s">
        <v>137</v>
      </c>
      <c r="E2" s="169" t="s">
        <v>28</v>
      </c>
      <c r="F2" s="169" t="s">
        <v>159</v>
      </c>
      <c r="G2" s="169" t="s">
        <v>160</v>
      </c>
      <c r="H2" s="170">
        <v>2.2799999999999998</v>
      </c>
      <c r="I2" s="170">
        <v>2.1</v>
      </c>
      <c r="J2" s="170">
        <v>0.7</v>
      </c>
      <c r="K2" s="170">
        <v>413883260.75</v>
      </c>
      <c r="L2" s="170">
        <v>73522338.480000004</v>
      </c>
      <c r="M2" s="168">
        <v>1</v>
      </c>
      <c r="N2" s="168">
        <v>0</v>
      </c>
      <c r="O2" s="168">
        <v>0</v>
      </c>
      <c r="P2" s="168">
        <v>1</v>
      </c>
      <c r="Q2" s="170">
        <v>158250566.28999999</v>
      </c>
      <c r="R2" s="170">
        <v>-96078042.530000001</v>
      </c>
    </row>
    <row r="3" spans="1:18" ht="21.75" customHeight="1" x14ac:dyDescent="0.3">
      <c r="A3" s="168">
        <v>4</v>
      </c>
      <c r="B3" s="169" t="s">
        <v>135</v>
      </c>
      <c r="C3" s="169" t="s">
        <v>138</v>
      </c>
      <c r="D3" s="169" t="s">
        <v>139</v>
      </c>
      <c r="E3" s="169" t="s">
        <v>27</v>
      </c>
      <c r="F3" s="169" t="s">
        <v>159</v>
      </c>
      <c r="G3" s="169" t="s">
        <v>160</v>
      </c>
      <c r="H3" s="170">
        <v>2.57</v>
      </c>
      <c r="I3" s="170">
        <v>2.46</v>
      </c>
      <c r="J3" s="170">
        <v>1.1599999999999999</v>
      </c>
      <c r="K3" s="170">
        <v>185653811.97</v>
      </c>
      <c r="L3" s="170">
        <v>38903379.560000002</v>
      </c>
      <c r="M3" s="168">
        <v>0</v>
      </c>
      <c r="N3" s="168">
        <v>0</v>
      </c>
      <c r="O3" s="168">
        <v>0</v>
      </c>
      <c r="P3" s="168">
        <v>0</v>
      </c>
      <c r="Q3" s="170">
        <v>54726932.909999996</v>
      </c>
      <c r="R3" s="170">
        <v>18955617.219999999</v>
      </c>
    </row>
    <row r="4" spans="1:18" ht="21.75" customHeight="1" x14ac:dyDescent="0.3">
      <c r="A4" s="168">
        <v>4</v>
      </c>
      <c r="B4" s="169" t="s">
        <v>135</v>
      </c>
      <c r="C4" s="169" t="s">
        <v>140</v>
      </c>
      <c r="D4" s="169" t="s">
        <v>26</v>
      </c>
      <c r="E4" s="169" t="s">
        <v>141</v>
      </c>
      <c r="F4" s="169" t="s">
        <v>159</v>
      </c>
      <c r="G4" s="169" t="s">
        <v>160</v>
      </c>
      <c r="H4" s="170">
        <v>2.89</v>
      </c>
      <c r="I4" s="170">
        <v>2.76</v>
      </c>
      <c r="J4" s="170">
        <v>2.36</v>
      </c>
      <c r="K4" s="170">
        <v>47477238.859999999</v>
      </c>
      <c r="L4" s="170">
        <v>101295957.83</v>
      </c>
      <c r="M4" s="168">
        <v>0</v>
      </c>
      <c r="N4" s="168">
        <v>0</v>
      </c>
      <c r="O4" s="168">
        <v>0</v>
      </c>
      <c r="P4" s="168">
        <v>0</v>
      </c>
      <c r="Q4" s="170">
        <v>85425448.629999995</v>
      </c>
      <c r="R4" s="170">
        <v>34095575.649999999</v>
      </c>
    </row>
    <row r="5" spans="1:18" ht="21.75" customHeight="1" x14ac:dyDescent="0.3">
      <c r="A5" s="168">
        <v>4</v>
      </c>
      <c r="B5" s="169" t="s">
        <v>135</v>
      </c>
      <c r="C5" s="169" t="s">
        <v>142</v>
      </c>
      <c r="D5" s="169" t="s">
        <v>157</v>
      </c>
      <c r="E5" s="169" t="s">
        <v>141</v>
      </c>
      <c r="F5" s="169" t="s">
        <v>159</v>
      </c>
      <c r="G5" s="169" t="s">
        <v>160</v>
      </c>
      <c r="H5" s="170">
        <v>12.83</v>
      </c>
      <c r="I5" s="170">
        <v>12.56</v>
      </c>
      <c r="J5" s="170">
        <v>11.84</v>
      </c>
      <c r="K5" s="170">
        <v>124312103.18000001</v>
      </c>
      <c r="L5" s="170">
        <v>-21762051.190000001</v>
      </c>
      <c r="M5" s="168">
        <v>0</v>
      </c>
      <c r="N5" s="168">
        <v>1</v>
      </c>
      <c r="O5" s="168">
        <v>0</v>
      </c>
      <c r="P5" s="168">
        <v>1</v>
      </c>
      <c r="Q5" s="170">
        <v>-16715346.08</v>
      </c>
      <c r="R5" s="170">
        <v>113947287.16</v>
      </c>
    </row>
    <row r="6" spans="1:18" ht="21.75" customHeight="1" x14ac:dyDescent="0.3">
      <c r="A6" s="168">
        <v>4</v>
      </c>
      <c r="B6" s="169" t="s">
        <v>135</v>
      </c>
      <c r="C6" s="169" t="s">
        <v>143</v>
      </c>
      <c r="D6" s="169" t="s">
        <v>158</v>
      </c>
      <c r="E6" s="169" t="s">
        <v>141</v>
      </c>
      <c r="F6" s="169" t="s">
        <v>159</v>
      </c>
      <c r="G6" s="169" t="s">
        <v>160</v>
      </c>
      <c r="H6" s="170">
        <v>2.69</v>
      </c>
      <c r="I6" s="170">
        <v>2.34</v>
      </c>
      <c r="J6" s="170">
        <v>1.1499999999999999</v>
      </c>
      <c r="K6" s="170">
        <v>25162346.98</v>
      </c>
      <c r="L6" s="170">
        <v>-9394897.1099999994</v>
      </c>
      <c r="M6" s="168">
        <v>0</v>
      </c>
      <c r="N6" s="168">
        <v>1</v>
      </c>
      <c r="O6" s="168">
        <v>0</v>
      </c>
      <c r="P6" s="168">
        <v>1</v>
      </c>
      <c r="Q6" s="170">
        <v>-4019562.4</v>
      </c>
      <c r="R6" s="170">
        <v>2247329.42</v>
      </c>
    </row>
    <row r="7" spans="1:18" ht="21.75" customHeight="1" x14ac:dyDescent="0.3">
      <c r="A7" s="168">
        <v>4</v>
      </c>
      <c r="B7" s="169" t="s">
        <v>135</v>
      </c>
      <c r="C7" s="169" t="s">
        <v>144</v>
      </c>
      <c r="D7" s="169" t="s">
        <v>23</v>
      </c>
      <c r="E7" s="169" t="s">
        <v>141</v>
      </c>
      <c r="F7" s="169" t="s">
        <v>159</v>
      </c>
      <c r="G7" s="169" t="s">
        <v>160</v>
      </c>
      <c r="H7" s="170">
        <v>0.81</v>
      </c>
      <c r="I7" s="170">
        <v>0.7</v>
      </c>
      <c r="J7" s="170">
        <v>0.48</v>
      </c>
      <c r="K7" s="170">
        <v>-3215074.73</v>
      </c>
      <c r="L7" s="170">
        <v>-12080231.1</v>
      </c>
      <c r="M7" s="168">
        <v>3</v>
      </c>
      <c r="N7" s="168">
        <v>2</v>
      </c>
      <c r="O7" s="168">
        <v>2</v>
      </c>
      <c r="P7" s="168">
        <v>7</v>
      </c>
      <c r="Q7" s="170">
        <v>-11234454.18</v>
      </c>
      <c r="R7" s="170">
        <v>-8726629.8200000003</v>
      </c>
    </row>
    <row r="8" spans="1:18" ht="21.75" customHeight="1" x14ac:dyDescent="0.3">
      <c r="A8" s="168">
        <v>4</v>
      </c>
      <c r="B8" s="169" t="s">
        <v>135</v>
      </c>
      <c r="C8" s="169" t="s">
        <v>145</v>
      </c>
      <c r="D8" s="169" t="s">
        <v>22</v>
      </c>
      <c r="E8" s="169" t="s">
        <v>141</v>
      </c>
      <c r="F8" s="169" t="s">
        <v>159</v>
      </c>
      <c r="G8" s="169" t="s">
        <v>160</v>
      </c>
      <c r="H8" s="170">
        <v>3.78</v>
      </c>
      <c r="I8" s="170">
        <v>3.61</v>
      </c>
      <c r="J8" s="170">
        <v>3.14</v>
      </c>
      <c r="K8" s="170">
        <v>200861603.56999999</v>
      </c>
      <c r="L8" s="170">
        <v>-54685329.479999997</v>
      </c>
      <c r="M8" s="168">
        <v>0</v>
      </c>
      <c r="N8" s="168">
        <v>1</v>
      </c>
      <c r="O8" s="168">
        <v>0</v>
      </c>
      <c r="P8" s="168">
        <v>1</v>
      </c>
      <c r="Q8" s="170">
        <v>-44260972.170000002</v>
      </c>
      <c r="R8" s="170">
        <v>152361939.31999999</v>
      </c>
    </row>
    <row r="9" spans="1:18" ht="21.75" customHeight="1" x14ac:dyDescent="0.3">
      <c r="A9" s="168">
        <v>4</v>
      </c>
      <c r="B9" s="169" t="s">
        <v>135</v>
      </c>
      <c r="C9" s="169" t="s">
        <v>146</v>
      </c>
      <c r="D9" s="169" t="s">
        <v>21</v>
      </c>
      <c r="E9" s="169" t="s">
        <v>141</v>
      </c>
      <c r="F9" s="169" t="s">
        <v>159</v>
      </c>
      <c r="G9" s="169" t="s">
        <v>160</v>
      </c>
      <c r="H9" s="170">
        <v>1.41</v>
      </c>
      <c r="I9" s="170">
        <v>1.1599999999999999</v>
      </c>
      <c r="J9" s="170">
        <v>0.73</v>
      </c>
      <c r="K9" s="170">
        <v>8199236.9000000004</v>
      </c>
      <c r="L9" s="170">
        <v>-19250595.420000002</v>
      </c>
      <c r="M9" s="168">
        <v>2</v>
      </c>
      <c r="N9" s="168">
        <v>1</v>
      </c>
      <c r="O9" s="168">
        <v>1</v>
      </c>
      <c r="P9" s="168">
        <v>4</v>
      </c>
      <c r="Q9" s="170">
        <v>-15762602.41</v>
      </c>
      <c r="R9" s="170">
        <v>-5434193.5899999999</v>
      </c>
    </row>
    <row r="10" spans="1:18" ht="21.75" customHeight="1" x14ac:dyDescent="0.3">
      <c r="A10" s="168">
        <v>4</v>
      </c>
      <c r="B10" s="169" t="s">
        <v>135</v>
      </c>
      <c r="C10" s="169" t="s">
        <v>147</v>
      </c>
      <c r="D10" s="169" t="s">
        <v>20</v>
      </c>
      <c r="E10" s="169" t="s">
        <v>141</v>
      </c>
      <c r="F10" s="169" t="s">
        <v>159</v>
      </c>
      <c r="G10" s="169" t="s">
        <v>160</v>
      </c>
      <c r="H10" s="170">
        <v>4.6399999999999997</v>
      </c>
      <c r="I10" s="170">
        <v>4.41</v>
      </c>
      <c r="J10" s="170">
        <v>3.9</v>
      </c>
      <c r="K10" s="170">
        <v>45767558.280000001</v>
      </c>
      <c r="L10" s="170">
        <v>-21942359.649999999</v>
      </c>
      <c r="M10" s="168">
        <v>0</v>
      </c>
      <c r="N10" s="168">
        <v>1</v>
      </c>
      <c r="O10" s="168">
        <v>0</v>
      </c>
      <c r="P10" s="168">
        <v>1</v>
      </c>
      <c r="Q10" s="170">
        <v>-17926505.789999999</v>
      </c>
      <c r="R10" s="170">
        <v>36471345.119999997</v>
      </c>
    </row>
    <row r="11" spans="1:18" ht="21.75" customHeight="1" x14ac:dyDescent="0.3">
      <c r="A11" s="168">
        <v>4</v>
      </c>
      <c r="B11" s="169" t="s">
        <v>135</v>
      </c>
      <c r="C11" s="169" t="s">
        <v>148</v>
      </c>
      <c r="D11" s="169" t="s">
        <v>149</v>
      </c>
      <c r="E11" s="169" t="s">
        <v>141</v>
      </c>
      <c r="F11" s="169" t="s">
        <v>159</v>
      </c>
      <c r="G11" s="169" t="s">
        <v>160</v>
      </c>
      <c r="H11" s="170">
        <v>4.5199999999999996</v>
      </c>
      <c r="I11" s="170">
        <v>4.16</v>
      </c>
      <c r="J11" s="170">
        <v>3.14</v>
      </c>
      <c r="K11" s="170">
        <v>41325011.93</v>
      </c>
      <c r="L11" s="170">
        <v>-13663827.02</v>
      </c>
      <c r="M11" s="168">
        <v>0</v>
      </c>
      <c r="N11" s="168">
        <v>1</v>
      </c>
      <c r="O11" s="168">
        <v>0</v>
      </c>
      <c r="P11" s="168">
        <v>1</v>
      </c>
      <c r="Q11" s="170">
        <v>-11324282.960000001</v>
      </c>
      <c r="R11" s="170">
        <v>25128629.109999999</v>
      </c>
    </row>
    <row r="12" spans="1:18" ht="21.75" customHeight="1" x14ac:dyDescent="0.3">
      <c r="A12" s="168">
        <v>4</v>
      </c>
      <c r="B12" s="169" t="s">
        <v>135</v>
      </c>
      <c r="C12" s="169" t="s">
        <v>150</v>
      </c>
      <c r="D12" s="169" t="s">
        <v>151</v>
      </c>
      <c r="E12" s="169" t="s">
        <v>141</v>
      </c>
      <c r="F12" s="169" t="s">
        <v>159</v>
      </c>
      <c r="G12" s="169" t="s">
        <v>160</v>
      </c>
      <c r="H12" s="170">
        <v>4.59</v>
      </c>
      <c r="I12" s="170">
        <v>4.1399999999999997</v>
      </c>
      <c r="J12" s="170">
        <v>3.23</v>
      </c>
      <c r="K12" s="170">
        <v>39889180.659999996</v>
      </c>
      <c r="L12" s="170">
        <v>-14655260.109999999</v>
      </c>
      <c r="M12" s="168">
        <v>0</v>
      </c>
      <c r="N12" s="168">
        <v>1</v>
      </c>
      <c r="O12" s="168">
        <v>0</v>
      </c>
      <c r="P12" s="168">
        <v>1</v>
      </c>
      <c r="Q12" s="170">
        <v>-14574087.91</v>
      </c>
      <c r="R12" s="170">
        <v>24805394.879999999</v>
      </c>
    </row>
    <row r="13" spans="1:18" ht="21.75" customHeight="1" x14ac:dyDescent="0.3">
      <c r="A13" s="168">
        <v>4</v>
      </c>
      <c r="B13" s="169" t="s">
        <v>135</v>
      </c>
      <c r="C13" s="169" t="s">
        <v>156</v>
      </c>
      <c r="D13" s="169" t="s">
        <v>17</v>
      </c>
      <c r="E13" s="169" t="s">
        <v>141</v>
      </c>
      <c r="F13" s="169" t="s">
        <v>159</v>
      </c>
      <c r="G13" s="169" t="s">
        <v>160</v>
      </c>
      <c r="H13" s="170">
        <v>5.58</v>
      </c>
      <c r="I13" s="170">
        <v>5.12</v>
      </c>
      <c r="J13" s="170">
        <v>3.96</v>
      </c>
      <c r="K13" s="170">
        <v>90005457</v>
      </c>
      <c r="L13" s="170">
        <v>-27580792.18</v>
      </c>
      <c r="M13" s="168">
        <v>0</v>
      </c>
      <c r="N13" s="168">
        <v>1</v>
      </c>
      <c r="O13" s="168">
        <v>0</v>
      </c>
      <c r="P13" s="168">
        <v>1</v>
      </c>
      <c r="Q13" s="170">
        <v>-11353400.23</v>
      </c>
      <c r="R13" s="170">
        <v>58265370.590000004</v>
      </c>
    </row>
    <row r="14" spans="1:18" ht="21.75" customHeight="1" x14ac:dyDescent="0.3">
      <c r="A14" s="168">
        <v>4</v>
      </c>
      <c r="B14" s="169" t="s">
        <v>135</v>
      </c>
      <c r="C14" s="169" t="s">
        <v>152</v>
      </c>
      <c r="D14" s="169" t="s">
        <v>16</v>
      </c>
      <c r="E14" s="169" t="s">
        <v>141</v>
      </c>
      <c r="F14" s="169" t="s">
        <v>159</v>
      </c>
      <c r="G14" s="169" t="s">
        <v>160</v>
      </c>
      <c r="H14" s="170">
        <v>1.57</v>
      </c>
      <c r="I14" s="170">
        <v>1.37</v>
      </c>
      <c r="J14" s="170">
        <v>1.1200000000000001</v>
      </c>
      <c r="K14" s="170">
        <v>5377320.5099999998</v>
      </c>
      <c r="L14" s="170">
        <v>-10120959.41</v>
      </c>
      <c r="M14" s="168">
        <v>0</v>
      </c>
      <c r="N14" s="168">
        <v>1</v>
      </c>
      <c r="O14" s="168">
        <v>1</v>
      </c>
      <c r="P14" s="168">
        <v>2</v>
      </c>
      <c r="Q14" s="170">
        <v>-8429526.6799999997</v>
      </c>
      <c r="R14" s="170">
        <v>1098595.1000000001</v>
      </c>
    </row>
    <row r="15" spans="1:18" ht="21.75" customHeight="1" x14ac:dyDescent="0.3">
      <c r="A15" s="168">
        <v>4</v>
      </c>
      <c r="B15" s="169" t="s">
        <v>135</v>
      </c>
      <c r="C15" s="169" t="s">
        <v>153</v>
      </c>
      <c r="D15" s="169" t="s">
        <v>15</v>
      </c>
      <c r="E15" s="169" t="s">
        <v>141</v>
      </c>
      <c r="F15" s="169" t="s">
        <v>159</v>
      </c>
      <c r="G15" s="169" t="s">
        <v>160</v>
      </c>
      <c r="H15" s="170">
        <v>10.69</v>
      </c>
      <c r="I15" s="170">
        <v>10.45</v>
      </c>
      <c r="J15" s="170">
        <v>7.83</v>
      </c>
      <c r="K15" s="170">
        <v>159534489.53</v>
      </c>
      <c r="L15" s="170">
        <v>-18063132.390000001</v>
      </c>
      <c r="M15" s="168">
        <v>0</v>
      </c>
      <c r="N15" s="168">
        <v>1</v>
      </c>
      <c r="O15" s="168">
        <v>0</v>
      </c>
      <c r="P15" s="168">
        <v>1</v>
      </c>
      <c r="Q15" s="170">
        <v>-15179120.640000001</v>
      </c>
      <c r="R15" s="170">
        <v>112549299.83</v>
      </c>
    </row>
    <row r="16" spans="1:18" ht="21.75" customHeight="1" x14ac:dyDescent="0.3">
      <c r="A16" s="168">
        <v>4</v>
      </c>
      <c r="B16" s="169" t="s">
        <v>135</v>
      </c>
      <c r="C16" s="169" t="s">
        <v>154</v>
      </c>
      <c r="D16" s="169" t="s">
        <v>14</v>
      </c>
      <c r="E16" s="169" t="s">
        <v>141</v>
      </c>
      <c r="F16" s="169" t="s">
        <v>159</v>
      </c>
      <c r="G16" s="169" t="s">
        <v>160</v>
      </c>
      <c r="H16" s="170">
        <v>1.1299999999999999</v>
      </c>
      <c r="I16" s="170">
        <v>0.87</v>
      </c>
      <c r="J16" s="170">
        <v>0.42</v>
      </c>
      <c r="K16" s="170">
        <v>1384368.78</v>
      </c>
      <c r="L16" s="170">
        <v>-3810014.4</v>
      </c>
      <c r="M16" s="168">
        <v>3</v>
      </c>
      <c r="N16" s="168">
        <v>1</v>
      </c>
      <c r="O16" s="168">
        <v>1</v>
      </c>
      <c r="P16" s="168">
        <v>5</v>
      </c>
      <c r="Q16" s="170">
        <v>-2034944.86</v>
      </c>
      <c r="R16" s="170">
        <v>-6318653.6500000004</v>
      </c>
    </row>
    <row r="17" spans="1:18" ht="21.75" customHeight="1" x14ac:dyDescent="0.3">
      <c r="A17" s="168">
        <v>4</v>
      </c>
      <c r="B17" s="169" t="s">
        <v>135</v>
      </c>
      <c r="C17" s="169" t="s">
        <v>155</v>
      </c>
      <c r="D17" s="169" t="s">
        <v>13</v>
      </c>
      <c r="E17" s="169" t="s">
        <v>141</v>
      </c>
      <c r="F17" s="169" t="s">
        <v>159</v>
      </c>
      <c r="G17" s="169" t="s">
        <v>160</v>
      </c>
      <c r="H17" s="170">
        <v>1.1499999999999999</v>
      </c>
      <c r="I17" s="170">
        <v>1.01</v>
      </c>
      <c r="J17" s="170">
        <v>0.57999999999999996</v>
      </c>
      <c r="K17" s="170">
        <v>1382305.4</v>
      </c>
      <c r="L17" s="170">
        <v>-4741167.8899999997</v>
      </c>
      <c r="M17" s="168">
        <v>2</v>
      </c>
      <c r="N17" s="168">
        <v>1</v>
      </c>
      <c r="O17" s="168">
        <v>2</v>
      </c>
      <c r="P17" s="168">
        <v>5</v>
      </c>
      <c r="Q17" s="170">
        <v>-3479831.06</v>
      </c>
      <c r="R17" s="170">
        <v>-3842853.41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I8" sqref="I8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4" t="s">
        <v>87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1" t="s">
        <v>53</v>
      </c>
      <c r="P1" s="38">
        <v>45275</v>
      </c>
    </row>
    <row r="2" spans="1:25" ht="54.75" customHeight="1" thickBot="1" x14ac:dyDescent="0.3">
      <c r="C2" s="125" t="s">
        <v>41</v>
      </c>
      <c r="D2" s="126" t="s">
        <v>40</v>
      </c>
      <c r="E2" s="126"/>
      <c r="F2" s="126"/>
      <c r="G2" s="126"/>
      <c r="H2" s="127" t="s">
        <v>39</v>
      </c>
      <c r="I2" s="127"/>
      <c r="J2" s="127"/>
      <c r="K2" s="128" t="s">
        <v>38</v>
      </c>
      <c r="L2" s="128"/>
      <c r="M2" s="128"/>
      <c r="N2" s="143" t="s">
        <v>88</v>
      </c>
      <c r="O2" s="149" t="s">
        <v>89</v>
      </c>
      <c r="P2" s="146" t="s">
        <v>56</v>
      </c>
      <c r="Q2" s="145" t="s">
        <v>57</v>
      </c>
    </row>
    <row r="3" spans="1:25" ht="38.25" customHeight="1" thickBot="1" x14ac:dyDescent="0.3">
      <c r="C3" s="125"/>
      <c r="D3" s="134" t="s">
        <v>36</v>
      </c>
      <c r="E3" s="134" t="s">
        <v>35</v>
      </c>
      <c r="F3" s="134" t="s">
        <v>34</v>
      </c>
      <c r="G3" s="135" t="s">
        <v>29</v>
      </c>
      <c r="H3" s="136" t="s">
        <v>33</v>
      </c>
      <c r="I3" s="125" t="s">
        <v>32</v>
      </c>
      <c r="J3" s="137" t="s">
        <v>29</v>
      </c>
      <c r="K3" s="138" t="s">
        <v>31</v>
      </c>
      <c r="L3" s="125" t="s">
        <v>30</v>
      </c>
      <c r="M3" s="144" t="s">
        <v>29</v>
      </c>
      <c r="N3" s="143"/>
      <c r="O3" s="149"/>
      <c r="P3" s="147"/>
      <c r="Q3" s="145"/>
    </row>
    <row r="4" spans="1:25" ht="36.75" customHeight="1" thickBot="1" x14ac:dyDescent="0.3">
      <c r="C4" s="125"/>
      <c r="D4" s="134"/>
      <c r="E4" s="134"/>
      <c r="F4" s="134"/>
      <c r="G4" s="135"/>
      <c r="H4" s="136"/>
      <c r="I4" s="125"/>
      <c r="J4" s="137"/>
      <c r="K4" s="138"/>
      <c r="L4" s="125"/>
      <c r="M4" s="144"/>
      <c r="N4" s="143"/>
      <c r="O4" s="149"/>
      <c r="P4" s="148"/>
      <c r="Q4" s="145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43">
        <v>2.12</v>
      </c>
      <c r="E5" s="43">
        <v>1.9</v>
      </c>
      <c r="F5" s="47">
        <v>0.94</v>
      </c>
      <c r="G5" s="43">
        <f t="shared" ref="G5:G20" si="0">(IF(D5&lt;1.5,1,0))+(IF(E5&lt;1,1,0))+(IF(F5&lt;0.8,1,0))</f>
        <v>0</v>
      </c>
      <c r="H5" s="46">
        <v>371605344.88999999</v>
      </c>
      <c r="I5" s="46">
        <v>43858832.700000003</v>
      </c>
      <c r="J5" s="43">
        <f t="shared" ref="J5:J20" si="1">IF(I5&lt;0,1,0)+IF(H5&lt;0,1,0)</f>
        <v>0</v>
      </c>
      <c r="K5" s="45">
        <f t="shared" ref="K5:K20" si="2">SUM(I5/2)</f>
        <v>21929416.350000001</v>
      </c>
      <c r="L5" s="41">
        <f>+H5/K5</f>
        <v>16.945519158333639</v>
      </c>
      <c r="M5" s="40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2">
        <f>SUM(G5+J5+M5)</f>
        <v>0</v>
      </c>
      <c r="O5" s="42">
        <f>'ต.ค.66'!N5</f>
        <v>0</v>
      </c>
      <c r="P5" s="55">
        <v>78082866.769999996</v>
      </c>
      <c r="Q5" s="51">
        <v>-20415751.949999999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47">
        <v>2.2999999999999998</v>
      </c>
      <c r="E6" s="43">
        <v>2.2000000000000002</v>
      </c>
      <c r="F6" s="43">
        <v>1.41</v>
      </c>
      <c r="G6" s="43">
        <f t="shared" si="0"/>
        <v>0</v>
      </c>
      <c r="H6" s="46">
        <v>167076066.86000001</v>
      </c>
      <c r="I6" s="46">
        <v>17140086.550000001</v>
      </c>
      <c r="J6" s="43">
        <f>IF(I6&lt;0,1,0)+IF(H6&lt;0,1,0)</f>
        <v>0</v>
      </c>
      <c r="K6" s="45">
        <f>SUM(I6/2)</f>
        <v>8570043.2750000004</v>
      </c>
      <c r="L6" s="41">
        <f>+H6/K6</f>
        <v>19.495358599574867</v>
      </c>
      <c r="M6" s="40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2">
        <f>SUM(G6+J6+M6)</f>
        <v>0</v>
      </c>
      <c r="O6" s="42">
        <f>'ต.ค.66'!N6</f>
        <v>0</v>
      </c>
      <c r="P6" s="55">
        <v>25904642.620000001</v>
      </c>
      <c r="Q6" s="46">
        <v>52623817.450000003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43">
        <v>4.26</v>
      </c>
      <c r="E7" s="43">
        <v>4.08</v>
      </c>
      <c r="F7" s="47">
        <v>3.51</v>
      </c>
      <c r="G7" s="43">
        <f t="shared" si="0"/>
        <v>0</v>
      </c>
      <c r="H7" s="46">
        <v>60870435.969999999</v>
      </c>
      <c r="I7" s="51">
        <v>-1726694.04</v>
      </c>
      <c r="J7" s="39">
        <f t="shared" si="1"/>
        <v>1</v>
      </c>
      <c r="K7" s="48">
        <f t="shared" si="2"/>
        <v>-863347.02</v>
      </c>
      <c r="L7" s="41">
        <f t="shared" ref="L7:L20" si="3">+H7/K7</f>
        <v>-70.505178751876613</v>
      </c>
      <c r="M7" s="40">
        <f t="shared" ref="M7:M20" si="4">IF(AND(I7&lt;0,H7&lt;0),2,IF(AND(I7&gt;0,H7&gt;0),0,IF(AND(H7&lt;0,I7&gt;0),IF(ABS((H7/(I7/2)))&lt;3,0,IF(ABS((H7/(I7/2)))&gt;6,2,1)),IF(AND(H7&gt;0,I7&lt;0),IF(ABS((H7/(I7/2)))&lt;3,2,IF(ABS((H7/(I7/2)))&gt;6,0,1))))))</f>
        <v>0</v>
      </c>
      <c r="N7" s="42">
        <f t="shared" ref="N7:N20" si="5">SUM(G7+J7+M7)</f>
        <v>1</v>
      </c>
      <c r="O7" s="42">
        <f>'ต.ค.66'!N7</f>
        <v>0</v>
      </c>
      <c r="P7" s="55">
        <v>27749.94</v>
      </c>
      <c r="Q7" s="46">
        <v>46900374.969999999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43">
        <v>15.67</v>
      </c>
      <c r="E8" s="43">
        <v>15.38</v>
      </c>
      <c r="F8" s="43">
        <v>14.84</v>
      </c>
      <c r="G8" s="43">
        <f t="shared" si="0"/>
        <v>0</v>
      </c>
      <c r="H8" s="46">
        <v>143704041.09999999</v>
      </c>
      <c r="I8" s="51">
        <v>-892413.7</v>
      </c>
      <c r="J8" s="39">
        <f t="shared" si="1"/>
        <v>1</v>
      </c>
      <c r="K8" s="48">
        <f t="shared" si="2"/>
        <v>-446206.85</v>
      </c>
      <c r="L8" s="41">
        <f t="shared" si="3"/>
        <v>-322.05700360718356</v>
      </c>
      <c r="M8" s="40">
        <f t="shared" si="4"/>
        <v>0</v>
      </c>
      <c r="N8" s="42">
        <f t="shared" si="5"/>
        <v>1</v>
      </c>
      <c r="O8" s="42">
        <f>'ต.ค.66'!N8</f>
        <v>0</v>
      </c>
      <c r="P8" s="55">
        <v>675214.66</v>
      </c>
      <c r="Q8" s="46">
        <v>135259940.24000001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47">
        <v>3.64</v>
      </c>
      <c r="E9" s="43">
        <v>3.35</v>
      </c>
      <c r="F9" s="43">
        <v>3.03</v>
      </c>
      <c r="G9" s="43">
        <f t="shared" si="0"/>
        <v>0</v>
      </c>
      <c r="H9" s="46">
        <v>30786074.07</v>
      </c>
      <c r="I9" s="51">
        <v>-3631679.54</v>
      </c>
      <c r="J9" s="39">
        <f t="shared" si="1"/>
        <v>1</v>
      </c>
      <c r="K9" s="48">
        <f t="shared" si="2"/>
        <v>-1815839.77</v>
      </c>
      <c r="L9" s="41">
        <f t="shared" si="3"/>
        <v>-16.954179866872284</v>
      </c>
      <c r="M9" s="40">
        <f t="shared" si="4"/>
        <v>0</v>
      </c>
      <c r="N9" s="42">
        <f t="shared" si="5"/>
        <v>1</v>
      </c>
      <c r="O9" s="42">
        <f>'ต.ค.66'!N9</f>
        <v>1</v>
      </c>
      <c r="P9" s="51">
        <v>-2189048.67</v>
      </c>
      <c r="Q9" s="46">
        <v>23603309.149999999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47">
        <v>1.66</v>
      </c>
      <c r="E10" s="43">
        <v>1.56</v>
      </c>
      <c r="F10" s="47">
        <v>1.26</v>
      </c>
      <c r="G10" s="43">
        <f t="shared" si="0"/>
        <v>0</v>
      </c>
      <c r="H10" s="46">
        <v>8271136.5800000001</v>
      </c>
      <c r="I10" s="51">
        <v>-1334212.1000000001</v>
      </c>
      <c r="J10" s="39">
        <f t="shared" si="1"/>
        <v>1</v>
      </c>
      <c r="K10" s="48">
        <f t="shared" si="2"/>
        <v>-667106.05000000005</v>
      </c>
      <c r="L10" s="41">
        <f t="shared" si="3"/>
        <v>-12.398533306660912</v>
      </c>
      <c r="M10" s="40">
        <f t="shared" si="4"/>
        <v>0</v>
      </c>
      <c r="N10" s="42">
        <f t="shared" si="5"/>
        <v>1</v>
      </c>
      <c r="O10" s="42">
        <f>'ต.ค.66'!N10</f>
        <v>0</v>
      </c>
      <c r="P10" s="51">
        <v>-819451.99</v>
      </c>
      <c r="Q10" s="46">
        <v>3196630.17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43">
        <v>4.71</v>
      </c>
      <c r="E11" s="43">
        <v>4.51</v>
      </c>
      <c r="F11" s="43">
        <v>3.86</v>
      </c>
      <c r="G11" s="43">
        <f t="shared" si="0"/>
        <v>0</v>
      </c>
      <c r="H11" s="46">
        <v>240307409.47999999</v>
      </c>
      <c r="I11" s="51">
        <v>-1440505.29</v>
      </c>
      <c r="J11" s="39">
        <f t="shared" si="1"/>
        <v>1</v>
      </c>
      <c r="K11" s="48">
        <f t="shared" si="2"/>
        <v>-720252.64500000002</v>
      </c>
      <c r="L11" s="41">
        <f t="shared" si="3"/>
        <v>-333.64321692980383</v>
      </c>
      <c r="M11" s="40">
        <f t="shared" si="4"/>
        <v>0</v>
      </c>
      <c r="N11" s="42">
        <f t="shared" si="5"/>
        <v>1</v>
      </c>
      <c r="O11" s="42">
        <f>'ต.ค.66'!N11</f>
        <v>1</v>
      </c>
      <c r="P11" s="55">
        <v>3581521.55</v>
      </c>
      <c r="Q11" s="46">
        <v>183132101.05000001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43">
        <v>3.09</v>
      </c>
      <c r="E12" s="43">
        <v>2.68</v>
      </c>
      <c r="F12" s="47">
        <v>1.92</v>
      </c>
      <c r="G12" s="43">
        <f t="shared" si="0"/>
        <v>0</v>
      </c>
      <c r="H12" s="46">
        <v>25781927.100000001</v>
      </c>
      <c r="I12" s="46">
        <v>960713.09</v>
      </c>
      <c r="J12" s="43">
        <f t="shared" si="1"/>
        <v>0</v>
      </c>
      <c r="K12" s="45">
        <f t="shared" si="2"/>
        <v>480356.54499999998</v>
      </c>
      <c r="L12" s="41">
        <f t="shared" si="3"/>
        <v>53.672480094967796</v>
      </c>
      <c r="M12" s="40">
        <f t="shared" si="4"/>
        <v>0</v>
      </c>
      <c r="N12" s="42">
        <f t="shared" si="5"/>
        <v>0</v>
      </c>
      <c r="O12" s="42">
        <f>'ต.ค.66'!N12</f>
        <v>1</v>
      </c>
      <c r="P12" s="55">
        <v>1899947.94</v>
      </c>
      <c r="Q12" s="46">
        <v>11078049.789999999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43">
        <v>8.67</v>
      </c>
      <c r="E13" s="43">
        <v>8.2899999999999991</v>
      </c>
      <c r="F13" s="43">
        <v>7.51</v>
      </c>
      <c r="G13" s="43">
        <f t="shared" si="0"/>
        <v>0</v>
      </c>
      <c r="H13" s="46">
        <v>64412546.039999999</v>
      </c>
      <c r="I13" s="51">
        <v>-2268585.59</v>
      </c>
      <c r="J13" s="39">
        <f t="shared" si="1"/>
        <v>1</v>
      </c>
      <c r="K13" s="48">
        <f t="shared" si="2"/>
        <v>-1134292.7949999999</v>
      </c>
      <c r="L13" s="41">
        <f t="shared" si="3"/>
        <v>-56.786524893689382</v>
      </c>
      <c r="M13" s="40">
        <f t="shared" si="4"/>
        <v>0</v>
      </c>
      <c r="N13" s="42">
        <f t="shared" si="5"/>
        <v>1</v>
      </c>
      <c r="O13" s="42">
        <f>'ต.ค.66'!N13</f>
        <v>0</v>
      </c>
      <c r="P13" s="51">
        <v>-1088779.6200000001</v>
      </c>
      <c r="Q13" s="46">
        <v>54663699.549999997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43">
        <v>7.85</v>
      </c>
      <c r="E14" s="43">
        <v>7.44</v>
      </c>
      <c r="F14" s="43">
        <v>6.24</v>
      </c>
      <c r="G14" s="43">
        <f t="shared" si="0"/>
        <v>0</v>
      </c>
      <c r="H14" s="46">
        <v>61730485.25</v>
      </c>
      <c r="I14" s="46">
        <v>4743680.43</v>
      </c>
      <c r="J14" s="43">
        <f t="shared" si="1"/>
        <v>0</v>
      </c>
      <c r="K14" s="45">
        <f t="shared" si="2"/>
        <v>2371840.2149999999</v>
      </c>
      <c r="L14" s="41">
        <f t="shared" si="3"/>
        <v>26.026409730134372</v>
      </c>
      <c r="M14" s="40">
        <f t="shared" si="4"/>
        <v>0</v>
      </c>
      <c r="N14" s="42">
        <f t="shared" si="5"/>
        <v>0</v>
      </c>
      <c r="O14" s="42">
        <f>'ต.ค.66'!N14</f>
        <v>0</v>
      </c>
      <c r="P14" s="55">
        <v>5493852.5499999998</v>
      </c>
      <c r="Q14" s="46">
        <v>47284183.759999998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43">
        <v>7.01</v>
      </c>
      <c r="E15" s="43">
        <v>6.49</v>
      </c>
      <c r="F15" s="43">
        <v>5.66</v>
      </c>
      <c r="G15" s="43">
        <f t="shared" si="0"/>
        <v>0</v>
      </c>
      <c r="H15" s="46">
        <v>55107204.880000003</v>
      </c>
      <c r="I15" s="51">
        <v>-56471.38</v>
      </c>
      <c r="J15" s="39">
        <f t="shared" si="1"/>
        <v>1</v>
      </c>
      <c r="K15" s="48">
        <f t="shared" si="2"/>
        <v>-28235.69</v>
      </c>
      <c r="L15" s="41">
        <f t="shared" si="3"/>
        <v>-1951.6861419005522</v>
      </c>
      <c r="M15" s="40">
        <f t="shared" si="4"/>
        <v>0</v>
      </c>
      <c r="N15" s="42">
        <f t="shared" si="5"/>
        <v>1</v>
      </c>
      <c r="O15" s="42">
        <f>'ต.ค.66'!N15</f>
        <v>0</v>
      </c>
      <c r="P15" s="55">
        <v>1248016.74</v>
      </c>
      <c r="Q15" s="46">
        <v>42765573.420000002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43">
        <v>6.97</v>
      </c>
      <c r="E16" s="43">
        <v>6.52</v>
      </c>
      <c r="F16" s="43">
        <v>5.74</v>
      </c>
      <c r="G16" s="43">
        <f t="shared" si="0"/>
        <v>0</v>
      </c>
      <c r="H16" s="46">
        <v>112434820.25</v>
      </c>
      <c r="I16" s="51">
        <v>-6065903.8099999996</v>
      </c>
      <c r="J16" s="39">
        <f t="shared" si="1"/>
        <v>1</v>
      </c>
      <c r="K16" s="48">
        <f t="shared" si="2"/>
        <v>-3032951.9049999998</v>
      </c>
      <c r="L16" s="41">
        <f t="shared" si="3"/>
        <v>-37.071085784329313</v>
      </c>
      <c r="M16" s="40">
        <f t="shared" si="4"/>
        <v>0</v>
      </c>
      <c r="N16" s="42">
        <f t="shared" si="5"/>
        <v>1</v>
      </c>
      <c r="O16" s="42">
        <f>'ต.ค.66'!N16</f>
        <v>0</v>
      </c>
      <c r="P16" s="51">
        <v>-1685357.79</v>
      </c>
      <c r="Q16" s="46">
        <v>89209817.739999995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43">
        <v>3.02</v>
      </c>
      <c r="E17" s="43">
        <v>2.87</v>
      </c>
      <c r="F17" s="43">
        <v>2.58</v>
      </c>
      <c r="G17" s="43">
        <f t="shared" si="0"/>
        <v>0</v>
      </c>
      <c r="H17" s="46">
        <v>14657896.48</v>
      </c>
      <c r="I17" s="51">
        <v>-2888912.81</v>
      </c>
      <c r="J17" s="39">
        <f t="shared" si="1"/>
        <v>1</v>
      </c>
      <c r="K17" s="48">
        <f t="shared" si="2"/>
        <v>-1444456.405</v>
      </c>
      <c r="L17" s="41">
        <f t="shared" si="3"/>
        <v>-10.147690459373885</v>
      </c>
      <c r="M17" s="40">
        <f t="shared" si="4"/>
        <v>0</v>
      </c>
      <c r="N17" s="42">
        <f t="shared" si="5"/>
        <v>1</v>
      </c>
      <c r="O17" s="42">
        <f>'ต.ค.66'!N17</f>
        <v>1</v>
      </c>
      <c r="P17" s="51">
        <v>-2310812.17</v>
      </c>
      <c r="Q17" s="46">
        <v>11421133.73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43">
        <v>11.82</v>
      </c>
      <c r="E18" s="43">
        <v>11.68</v>
      </c>
      <c r="F18" s="43">
        <v>9.27</v>
      </c>
      <c r="G18" s="43">
        <f t="shared" si="0"/>
        <v>0</v>
      </c>
      <c r="H18" s="46">
        <v>184712130.38</v>
      </c>
      <c r="I18" s="51">
        <v>-1349064.78</v>
      </c>
      <c r="J18" s="39">
        <f t="shared" si="1"/>
        <v>1</v>
      </c>
      <c r="K18" s="48">
        <f t="shared" si="2"/>
        <v>-674532.39</v>
      </c>
      <c r="L18" s="41">
        <f t="shared" si="3"/>
        <v>-273.83730287584854</v>
      </c>
      <c r="M18" s="43">
        <f t="shared" si="4"/>
        <v>0</v>
      </c>
      <c r="N18" s="42">
        <f t="shared" si="5"/>
        <v>1</v>
      </c>
      <c r="O18" s="42">
        <f>'ต.ค.66'!N18</f>
        <v>0</v>
      </c>
      <c r="P18" s="51">
        <v>-96343.14</v>
      </c>
      <c r="Q18" s="46">
        <v>141156277.44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116">
        <v>1.4</v>
      </c>
      <c r="E19" s="43">
        <v>1.1599999999999999</v>
      </c>
      <c r="F19" s="116">
        <v>0.76</v>
      </c>
      <c r="G19" s="39">
        <f t="shared" si="0"/>
        <v>2</v>
      </c>
      <c r="H19" s="46">
        <v>3852137.97</v>
      </c>
      <c r="I19" s="51">
        <v>-547997.37</v>
      </c>
      <c r="J19" s="39">
        <f t="shared" si="1"/>
        <v>1</v>
      </c>
      <c r="K19" s="48">
        <f t="shared" si="2"/>
        <v>-273998.685</v>
      </c>
      <c r="L19" s="41">
        <f t="shared" si="3"/>
        <v>-14.058965173500741</v>
      </c>
      <c r="M19" s="43">
        <f t="shared" si="4"/>
        <v>0</v>
      </c>
      <c r="N19" s="42">
        <f t="shared" si="5"/>
        <v>3</v>
      </c>
      <c r="O19" s="42">
        <f>'ต.ค.66'!N19</f>
        <v>2</v>
      </c>
      <c r="P19" s="55">
        <v>139228.21</v>
      </c>
      <c r="Q19" s="51">
        <v>-2632203.64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43">
        <v>1.84</v>
      </c>
      <c r="E20" s="43">
        <v>1.67</v>
      </c>
      <c r="F20" s="43">
        <v>1.21</v>
      </c>
      <c r="G20" s="43">
        <f t="shared" si="0"/>
        <v>0</v>
      </c>
      <c r="H20" s="46">
        <v>6085483.7999999998</v>
      </c>
      <c r="I20" s="51">
        <v>-669250.37</v>
      </c>
      <c r="J20" s="39">
        <f t="shared" si="1"/>
        <v>1</v>
      </c>
      <c r="K20" s="48">
        <f t="shared" si="2"/>
        <v>-334625.185</v>
      </c>
      <c r="L20" s="41">
        <f t="shared" si="3"/>
        <v>-18.18597067043833</v>
      </c>
      <c r="M20" s="40">
        <f t="shared" si="4"/>
        <v>0</v>
      </c>
      <c r="N20" s="42">
        <f t="shared" si="5"/>
        <v>1</v>
      </c>
      <c r="O20" s="42">
        <f>'ต.ค.66'!N20</f>
        <v>0</v>
      </c>
      <c r="P20" s="51">
        <v>-57785.23</v>
      </c>
      <c r="Q20" s="46">
        <v>1329271.45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40" t="s">
        <v>5</v>
      </c>
      <c r="M23" s="140"/>
      <c r="N23" s="140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40"/>
      <c r="M24" s="140"/>
      <c r="N24" s="140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40" t="s">
        <v>5</v>
      </c>
      <c r="M25" s="140"/>
      <c r="N25" s="140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40"/>
      <c r="M26" s="140"/>
      <c r="N26" s="140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41" t="s">
        <v>5</v>
      </c>
      <c r="L27" s="141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40" t="s">
        <v>5</v>
      </c>
      <c r="M30" s="140"/>
      <c r="N30" s="140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40"/>
      <c r="M31" s="140"/>
      <c r="N31" s="140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AL18" sqref="AL18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4" t="s">
        <v>90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36" t="s">
        <v>53</v>
      </c>
      <c r="P1" s="52">
        <v>243633</v>
      </c>
      <c r="Q1" s="38"/>
    </row>
    <row r="2" spans="1:25" ht="54.75" customHeight="1" thickBot="1" x14ac:dyDescent="0.3">
      <c r="C2" s="125" t="s">
        <v>41</v>
      </c>
      <c r="D2" s="126" t="s">
        <v>40</v>
      </c>
      <c r="E2" s="126"/>
      <c r="F2" s="126"/>
      <c r="G2" s="126"/>
      <c r="H2" s="127" t="s">
        <v>39</v>
      </c>
      <c r="I2" s="127"/>
      <c r="J2" s="127"/>
      <c r="K2" s="128" t="s">
        <v>38</v>
      </c>
      <c r="L2" s="128"/>
      <c r="M2" s="128"/>
      <c r="N2" s="143" t="s">
        <v>91</v>
      </c>
      <c r="O2" s="149" t="s">
        <v>92</v>
      </c>
      <c r="P2" s="150" t="s">
        <v>56</v>
      </c>
      <c r="Q2" s="150" t="s">
        <v>60</v>
      </c>
    </row>
    <row r="3" spans="1:25" ht="38.25" customHeight="1" thickBot="1" x14ac:dyDescent="0.3">
      <c r="C3" s="125"/>
      <c r="D3" s="134" t="s">
        <v>36</v>
      </c>
      <c r="E3" s="134" t="s">
        <v>35</v>
      </c>
      <c r="F3" s="134" t="s">
        <v>34</v>
      </c>
      <c r="G3" s="135" t="s">
        <v>29</v>
      </c>
      <c r="H3" s="136" t="s">
        <v>33</v>
      </c>
      <c r="I3" s="125" t="s">
        <v>32</v>
      </c>
      <c r="J3" s="137" t="s">
        <v>29</v>
      </c>
      <c r="K3" s="138" t="s">
        <v>31</v>
      </c>
      <c r="L3" s="125" t="s">
        <v>30</v>
      </c>
      <c r="M3" s="144" t="s">
        <v>29</v>
      </c>
      <c r="N3" s="143"/>
      <c r="O3" s="149"/>
      <c r="P3" s="150"/>
      <c r="Q3" s="150"/>
    </row>
    <row r="4" spans="1:25" ht="36.75" customHeight="1" thickBot="1" x14ac:dyDescent="0.3">
      <c r="C4" s="155"/>
      <c r="D4" s="152"/>
      <c r="E4" s="152"/>
      <c r="F4" s="152"/>
      <c r="G4" s="153"/>
      <c r="H4" s="154"/>
      <c r="I4" s="155"/>
      <c r="J4" s="156"/>
      <c r="K4" s="157"/>
      <c r="L4" s="155"/>
      <c r="M4" s="159"/>
      <c r="N4" s="158"/>
      <c r="O4" s="146"/>
      <c r="P4" s="151"/>
      <c r="Q4" s="151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47">
        <v>2.15</v>
      </c>
      <c r="E5" s="43">
        <v>1.91</v>
      </c>
      <c r="F5" s="43">
        <v>0.98</v>
      </c>
      <c r="G5" s="43">
        <f t="shared" ref="G5:G20" si="0">(IF(D5&lt;1.5,1,0))+(IF(E5&lt;1,1,0))+(IF(F5&lt;0.8,1,0))</f>
        <v>0</v>
      </c>
      <c r="H5" s="46">
        <v>370305523.93000001</v>
      </c>
      <c r="I5" s="46">
        <v>45474193.359999999</v>
      </c>
      <c r="J5" s="43">
        <f t="shared" ref="J5:J20" si="1">IF(I5&lt;0,1,0)+IF(H5&lt;0,1,0)</f>
        <v>0</v>
      </c>
      <c r="K5" s="45">
        <f t="shared" ref="K5:K17" si="2">SUM(I5/3)</f>
        <v>15158064.453333333</v>
      </c>
      <c r="L5" s="41">
        <f>+H5/K5</f>
        <v>24.429604786946793</v>
      </c>
      <c r="M5" s="40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2">
        <f t="shared" ref="N5:N20" si="3">SUM(G5+J5+M5)</f>
        <v>0</v>
      </c>
      <c r="O5" s="42">
        <f>'พ.ย.66'!N5</f>
        <v>0</v>
      </c>
      <c r="P5" s="55">
        <v>88701929.209999993</v>
      </c>
      <c r="Q5" s="51">
        <v>-6197844.0800000001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47">
        <v>2.41</v>
      </c>
      <c r="E6" s="43">
        <v>2.29</v>
      </c>
      <c r="F6" s="43">
        <v>1.54</v>
      </c>
      <c r="G6" s="43">
        <f t="shared" si="0"/>
        <v>0</v>
      </c>
      <c r="H6" s="46">
        <v>172572546.59999999</v>
      </c>
      <c r="I6" s="46">
        <v>15560688.470000001</v>
      </c>
      <c r="J6" s="43">
        <f>IF(I6&lt;0,1,0)+IF(H6&lt;0,1,0)</f>
        <v>0</v>
      </c>
      <c r="K6" s="45">
        <f t="shared" si="2"/>
        <v>5186896.1566666672</v>
      </c>
      <c r="L6" s="41">
        <f>+H6/K6</f>
        <v>33.270869781766152</v>
      </c>
      <c r="M6" s="40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2">
        <f>SUM(G6+J6+M6)</f>
        <v>0</v>
      </c>
      <c r="O6" s="42">
        <f>'พ.ย.66'!N6</f>
        <v>0</v>
      </c>
      <c r="P6" s="55">
        <v>28707428.18</v>
      </c>
      <c r="Q6" s="46">
        <v>65651457.82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47">
        <v>3.85</v>
      </c>
      <c r="E7" s="43">
        <v>3.71</v>
      </c>
      <c r="F7" s="43">
        <v>3.33</v>
      </c>
      <c r="G7" s="43">
        <f t="shared" si="0"/>
        <v>0</v>
      </c>
      <c r="H7" s="46">
        <v>61290395.359999999</v>
      </c>
      <c r="I7" s="46">
        <v>5918938.54</v>
      </c>
      <c r="J7" s="43">
        <f t="shared" si="1"/>
        <v>0</v>
      </c>
      <c r="K7" s="45">
        <f t="shared" si="2"/>
        <v>1972979.5133333334</v>
      </c>
      <c r="L7" s="41">
        <f t="shared" ref="L7:L20" si="5">+H7/K7</f>
        <v>31.064891929085647</v>
      </c>
      <c r="M7" s="40">
        <f t="shared" si="4"/>
        <v>0</v>
      </c>
      <c r="N7" s="42">
        <f t="shared" si="3"/>
        <v>0</v>
      </c>
      <c r="O7" s="42">
        <f>'พ.ย.66'!N7</f>
        <v>1</v>
      </c>
      <c r="P7" s="55">
        <v>8550604.5099999998</v>
      </c>
      <c r="Q7" s="46">
        <v>50166000.270000003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43">
        <v>13.7</v>
      </c>
      <c r="E8" s="47">
        <v>13.46</v>
      </c>
      <c r="F8" s="43">
        <v>13.04</v>
      </c>
      <c r="G8" s="43">
        <f t="shared" si="0"/>
        <v>0</v>
      </c>
      <c r="H8" s="46">
        <v>144537117.05000001</v>
      </c>
      <c r="I8" s="51">
        <v>-909322.64</v>
      </c>
      <c r="J8" s="39">
        <f t="shared" si="1"/>
        <v>1</v>
      </c>
      <c r="K8" s="48">
        <f t="shared" si="2"/>
        <v>-303107.54666666669</v>
      </c>
      <c r="L8" s="41">
        <f t="shared" si="5"/>
        <v>-476.85093505425095</v>
      </c>
      <c r="M8" s="40">
        <f t="shared" si="4"/>
        <v>0</v>
      </c>
      <c r="N8" s="42">
        <f t="shared" si="3"/>
        <v>1</v>
      </c>
      <c r="O8" s="42">
        <f>'พ.ย.66'!N8</f>
        <v>1</v>
      </c>
      <c r="P8" s="55">
        <v>1422348.78</v>
      </c>
      <c r="Q8" s="46">
        <v>136905743.41999999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43">
        <v>4.1900000000000004</v>
      </c>
      <c r="E9" s="47">
        <v>3.86</v>
      </c>
      <c r="F9" s="43">
        <v>3.44</v>
      </c>
      <c r="G9" s="43">
        <f t="shared" si="0"/>
        <v>0</v>
      </c>
      <c r="H9" s="46">
        <v>32765118.460000001</v>
      </c>
      <c r="I9" s="51">
        <v>-89579.77</v>
      </c>
      <c r="J9" s="39">
        <f t="shared" si="1"/>
        <v>1</v>
      </c>
      <c r="K9" s="48">
        <f t="shared" si="2"/>
        <v>-29859.923333333336</v>
      </c>
      <c r="L9" s="41">
        <f t="shared" si="5"/>
        <v>-1097.2941254481898</v>
      </c>
      <c r="M9" s="40">
        <f t="shared" si="4"/>
        <v>0</v>
      </c>
      <c r="N9" s="42">
        <f t="shared" si="3"/>
        <v>1</v>
      </c>
      <c r="O9" s="42">
        <f>'พ.ย.66'!N9</f>
        <v>1</v>
      </c>
      <c r="P9" s="55">
        <v>2074823.31</v>
      </c>
      <c r="Q9" s="46">
        <v>25119850.34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39">
        <v>1.45</v>
      </c>
      <c r="E10" s="47">
        <v>1.35</v>
      </c>
      <c r="F10" s="47">
        <v>1.1200000000000001</v>
      </c>
      <c r="G10" s="39">
        <f t="shared" si="0"/>
        <v>1</v>
      </c>
      <c r="H10" s="46">
        <v>6843923.8700000001</v>
      </c>
      <c r="I10" s="51">
        <v>-2713203</v>
      </c>
      <c r="J10" s="39">
        <f t="shared" si="1"/>
        <v>1</v>
      </c>
      <c r="K10" s="48">
        <f t="shared" si="2"/>
        <v>-904401</v>
      </c>
      <c r="L10" s="41">
        <f t="shared" si="5"/>
        <v>-7.5673554872230353</v>
      </c>
      <c r="M10" s="40">
        <f t="shared" si="4"/>
        <v>0</v>
      </c>
      <c r="N10" s="42">
        <f t="shared" si="3"/>
        <v>2</v>
      </c>
      <c r="O10" s="42">
        <f>'พ.ย.66'!N10</f>
        <v>1</v>
      </c>
      <c r="P10" s="51">
        <v>-1947704.88</v>
      </c>
      <c r="Q10" s="46">
        <v>1698776.35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47">
        <v>4.2</v>
      </c>
      <c r="E11" s="43">
        <v>4.03</v>
      </c>
      <c r="F11" s="43">
        <v>3.49</v>
      </c>
      <c r="G11" s="43">
        <f t="shared" si="0"/>
        <v>0</v>
      </c>
      <c r="H11" s="46">
        <v>241784187.66999999</v>
      </c>
      <c r="I11" s="51">
        <v>-1127882.74</v>
      </c>
      <c r="J11" s="39">
        <f t="shared" si="1"/>
        <v>1</v>
      </c>
      <c r="K11" s="48">
        <f t="shared" si="2"/>
        <v>-375960.91333333333</v>
      </c>
      <c r="L11" s="41">
        <f t="shared" si="5"/>
        <v>-643.10990609715327</v>
      </c>
      <c r="M11" s="40">
        <f t="shared" si="4"/>
        <v>0</v>
      </c>
      <c r="N11" s="42">
        <f t="shared" si="3"/>
        <v>1</v>
      </c>
      <c r="O11" s="42">
        <f>'พ.ย.66'!N11</f>
        <v>1</v>
      </c>
      <c r="P11" s="55">
        <v>5875448.1299999999</v>
      </c>
      <c r="Q11" s="46">
        <v>185694627.30000001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43">
        <v>2.3199999999999998</v>
      </c>
      <c r="E12" s="43">
        <v>1.98</v>
      </c>
      <c r="F12" s="43">
        <v>1.24</v>
      </c>
      <c r="G12" s="43">
        <f t="shared" si="0"/>
        <v>0</v>
      </c>
      <c r="H12" s="46">
        <v>21004861.23</v>
      </c>
      <c r="I12" s="51">
        <v>-2844395.21</v>
      </c>
      <c r="J12" s="39">
        <f t="shared" si="1"/>
        <v>1</v>
      </c>
      <c r="K12" s="48">
        <f t="shared" si="2"/>
        <v>-948131.73666666669</v>
      </c>
      <c r="L12" s="41">
        <f t="shared" si="5"/>
        <v>-22.153948040856108</v>
      </c>
      <c r="M12" s="40">
        <f t="shared" si="4"/>
        <v>0</v>
      </c>
      <c r="N12" s="42">
        <f t="shared" si="3"/>
        <v>1</v>
      </c>
      <c r="O12" s="42">
        <f>'พ.ย.66'!N12</f>
        <v>0</v>
      </c>
      <c r="P12" s="51">
        <v>-1275386.0900000001</v>
      </c>
      <c r="Q12" s="46">
        <v>3675930.71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43">
        <v>9.1199999999999992</v>
      </c>
      <c r="E13" s="43">
        <v>8.74</v>
      </c>
      <c r="F13" s="43">
        <v>8.1300000000000008</v>
      </c>
      <c r="G13" s="43">
        <f t="shared" si="0"/>
        <v>0</v>
      </c>
      <c r="H13" s="46">
        <v>64247757.460000001</v>
      </c>
      <c r="I13" s="51">
        <v>-2541223.3199999998</v>
      </c>
      <c r="J13" s="39">
        <f t="shared" si="1"/>
        <v>1</v>
      </c>
      <c r="K13" s="48">
        <f t="shared" si="2"/>
        <v>-847074.44</v>
      </c>
      <c r="L13" s="41">
        <f t="shared" si="5"/>
        <v>-75.846648684146345</v>
      </c>
      <c r="M13" s="40">
        <f t="shared" si="4"/>
        <v>0</v>
      </c>
      <c r="N13" s="42">
        <f t="shared" si="3"/>
        <v>1</v>
      </c>
      <c r="O13" s="42">
        <f>'พ.ย.66'!N13</f>
        <v>1</v>
      </c>
      <c r="P13" s="51">
        <v>-773313.81</v>
      </c>
      <c r="Q13" s="46">
        <v>56347061.93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43">
        <v>7.43</v>
      </c>
      <c r="E14" s="47">
        <v>7</v>
      </c>
      <c r="F14" s="43">
        <v>5.82</v>
      </c>
      <c r="G14" s="43">
        <f t="shared" si="0"/>
        <v>0</v>
      </c>
      <c r="H14" s="46">
        <v>62270486.100000001</v>
      </c>
      <c r="I14" s="46">
        <v>6024086.0099999998</v>
      </c>
      <c r="J14" s="43">
        <f t="shared" si="1"/>
        <v>0</v>
      </c>
      <c r="K14" s="45">
        <f t="shared" si="2"/>
        <v>2008028.67</v>
      </c>
      <c r="L14" s="41">
        <f t="shared" si="5"/>
        <v>31.010755488864611</v>
      </c>
      <c r="M14" s="40">
        <f t="shared" si="4"/>
        <v>0</v>
      </c>
      <c r="N14" s="42">
        <f t="shared" si="3"/>
        <v>0</v>
      </c>
      <c r="O14" s="42">
        <f>'พ.ย.66'!N14</f>
        <v>0</v>
      </c>
      <c r="P14" s="55">
        <v>7144949.2400000002</v>
      </c>
      <c r="Q14" s="46">
        <v>46646653.689999998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43">
        <v>5.53</v>
      </c>
      <c r="E15" s="43">
        <v>5.1100000000000003</v>
      </c>
      <c r="F15" s="43">
        <v>4.5199999999999996</v>
      </c>
      <c r="G15" s="43">
        <f t="shared" si="0"/>
        <v>0</v>
      </c>
      <c r="H15" s="46">
        <v>55295930.960000001</v>
      </c>
      <c r="I15" s="51">
        <v>-526335.44999999995</v>
      </c>
      <c r="J15" s="39">
        <f t="shared" si="1"/>
        <v>1</v>
      </c>
      <c r="K15" s="48">
        <f t="shared" si="2"/>
        <v>-175445.15</v>
      </c>
      <c r="L15" s="41">
        <f t="shared" si="5"/>
        <v>-315.17503310863822</v>
      </c>
      <c r="M15" s="40">
        <f t="shared" si="4"/>
        <v>0</v>
      </c>
      <c r="N15" s="42">
        <f t="shared" si="3"/>
        <v>1</v>
      </c>
      <c r="O15" s="42">
        <f>'พ.ย.66'!N15</f>
        <v>1</v>
      </c>
      <c r="P15" s="55">
        <v>1409622.92</v>
      </c>
      <c r="Q15" s="46">
        <v>42966508.530000001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43">
        <v>6.63</v>
      </c>
      <c r="E16" s="47">
        <v>6.2</v>
      </c>
      <c r="F16" s="43">
        <v>5.63</v>
      </c>
      <c r="G16" s="43">
        <f t="shared" si="0"/>
        <v>0</v>
      </c>
      <c r="H16" s="46">
        <v>112709393.14</v>
      </c>
      <c r="I16" s="51">
        <v>-4573775.8899999997</v>
      </c>
      <c r="J16" s="39">
        <f t="shared" si="1"/>
        <v>1</v>
      </c>
      <c r="K16" s="48">
        <f t="shared" si="2"/>
        <v>-1524591.9633333331</v>
      </c>
      <c r="L16" s="41">
        <f t="shared" si="5"/>
        <v>-73.927579215080442</v>
      </c>
      <c r="M16" s="40">
        <f t="shared" si="4"/>
        <v>0</v>
      </c>
      <c r="N16" s="42">
        <f t="shared" si="3"/>
        <v>1</v>
      </c>
      <c r="O16" s="42">
        <f>'พ.ย.66'!N16</f>
        <v>1</v>
      </c>
      <c r="P16" s="55">
        <v>2009307.36</v>
      </c>
      <c r="Q16" s="46">
        <v>92619243.5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47">
        <v>2.73</v>
      </c>
      <c r="E17" s="43">
        <v>2.58</v>
      </c>
      <c r="F17" s="43">
        <v>2.35</v>
      </c>
      <c r="G17" s="43">
        <f t="shared" si="0"/>
        <v>0</v>
      </c>
      <c r="H17" s="46">
        <v>14706280.42</v>
      </c>
      <c r="I17" s="51">
        <v>-3459744.3</v>
      </c>
      <c r="J17" s="39">
        <f t="shared" si="1"/>
        <v>1</v>
      </c>
      <c r="K17" s="48">
        <f t="shared" si="2"/>
        <v>-1153248.0999999999</v>
      </c>
      <c r="L17" s="41">
        <f t="shared" si="5"/>
        <v>-12.7520525895512</v>
      </c>
      <c r="M17" s="40">
        <f t="shared" si="4"/>
        <v>0</v>
      </c>
      <c r="N17" s="42">
        <f t="shared" si="3"/>
        <v>1</v>
      </c>
      <c r="O17" s="42">
        <f>'พ.ย.66'!N17</f>
        <v>1</v>
      </c>
      <c r="P17" s="51">
        <v>-2592597.34</v>
      </c>
      <c r="Q17" s="46">
        <v>11490638.76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47">
        <v>10.44</v>
      </c>
      <c r="E18" s="43">
        <v>10.29</v>
      </c>
      <c r="F18" s="43">
        <v>8.24</v>
      </c>
      <c r="G18" s="43">
        <f t="shared" si="0"/>
        <v>0</v>
      </c>
      <c r="H18" s="46">
        <v>182540163.30000001</v>
      </c>
      <c r="I18" s="51">
        <v>-2112037.8199999998</v>
      </c>
      <c r="J18" s="39">
        <f t="shared" si="1"/>
        <v>1</v>
      </c>
      <c r="K18" s="48">
        <f>SUM(I18/3)</f>
        <v>-704012.60666666657</v>
      </c>
      <c r="L18" s="41">
        <f t="shared" si="5"/>
        <v>-259.28536161345829</v>
      </c>
      <c r="M18" s="40">
        <f t="shared" si="4"/>
        <v>0</v>
      </c>
      <c r="N18" s="42">
        <f t="shared" si="3"/>
        <v>1</v>
      </c>
      <c r="O18" s="42">
        <f>'พ.ย.66'!N18</f>
        <v>1</v>
      </c>
      <c r="P18" s="51">
        <v>-235097.36</v>
      </c>
      <c r="Q18" s="46">
        <v>140118191.71000001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39">
        <v>1.44</v>
      </c>
      <c r="E19" s="43">
        <v>1.19</v>
      </c>
      <c r="F19" s="43">
        <v>0.84</v>
      </c>
      <c r="G19" s="39">
        <f t="shared" si="0"/>
        <v>1</v>
      </c>
      <c r="H19" s="46">
        <v>4433682.13</v>
      </c>
      <c r="I19" s="51">
        <v>-422004.19</v>
      </c>
      <c r="J19" s="39">
        <f t="shared" si="1"/>
        <v>1</v>
      </c>
      <c r="K19" s="48">
        <f>SUM(I19/3)</f>
        <v>-140668.06333333332</v>
      </c>
      <c r="L19" s="41">
        <f t="shared" si="5"/>
        <v>-31.518754328007976</v>
      </c>
      <c r="M19" s="40">
        <f t="shared" si="4"/>
        <v>0</v>
      </c>
      <c r="N19" s="42">
        <f t="shared" si="3"/>
        <v>2</v>
      </c>
      <c r="O19" s="42">
        <f>'พ.ย.66'!N19</f>
        <v>3</v>
      </c>
      <c r="P19" s="55">
        <v>608834.18000000005</v>
      </c>
      <c r="Q19" s="51">
        <v>-1610938.54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43">
        <v>1.89</v>
      </c>
      <c r="E20" s="47">
        <v>1.7</v>
      </c>
      <c r="F20" s="47">
        <v>1.29</v>
      </c>
      <c r="G20" s="43">
        <f t="shared" si="0"/>
        <v>0</v>
      </c>
      <c r="H20" s="46">
        <v>6730992.9299999997</v>
      </c>
      <c r="I20" s="51">
        <v>-38763.07</v>
      </c>
      <c r="J20" s="39">
        <f t="shared" si="1"/>
        <v>1</v>
      </c>
      <c r="K20" s="48">
        <f>SUM(I20/3)</f>
        <v>-12921.023333333333</v>
      </c>
      <c r="L20" s="41">
        <f t="shared" si="5"/>
        <v>-520.93342426180379</v>
      </c>
      <c r="M20" s="40">
        <f t="shared" si="4"/>
        <v>0</v>
      </c>
      <c r="N20" s="42">
        <f t="shared" si="3"/>
        <v>1</v>
      </c>
      <c r="O20" s="42">
        <f>'พ.ย.66'!N20</f>
        <v>1</v>
      </c>
      <c r="P20" s="55">
        <v>879890.45</v>
      </c>
      <c r="Q20" s="46">
        <v>2221003.29</v>
      </c>
      <c r="S20" s="8"/>
      <c r="V20" s="9"/>
      <c r="W20" s="10"/>
      <c r="X20" s="10"/>
      <c r="Y20" s="9"/>
    </row>
    <row r="21" spans="1:25" ht="20.25" customHeight="1" x14ac:dyDescent="0.35">
      <c r="C21" s="11"/>
      <c r="D21" s="11"/>
      <c r="E21" s="11"/>
      <c r="F21" s="11"/>
      <c r="G21" s="11"/>
      <c r="H21" s="85"/>
      <c r="I21" s="85"/>
      <c r="J21" s="85"/>
      <c r="K21" s="85"/>
      <c r="L21" s="85"/>
      <c r="M21" s="85"/>
      <c r="N21" s="85"/>
      <c r="O21" s="85"/>
      <c r="P21" s="85"/>
      <c r="Q21" s="85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40" t="s">
        <v>5</v>
      </c>
      <c r="M23" s="140"/>
      <c r="N23" s="140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40"/>
      <c r="M24" s="140"/>
      <c r="N24" s="140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40" t="s">
        <v>5</v>
      </c>
      <c r="M25" s="140"/>
      <c r="N25" s="140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40"/>
      <c r="M26" s="140"/>
      <c r="N26" s="140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41" t="s">
        <v>5</v>
      </c>
      <c r="L27" s="141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40" t="s">
        <v>5</v>
      </c>
      <c r="M30" s="140"/>
      <c r="N30" s="140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40"/>
      <c r="M31" s="140"/>
      <c r="N31" s="140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P14" sqref="P14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4" t="s">
        <v>93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36" t="s">
        <v>53</v>
      </c>
      <c r="P1" s="52">
        <v>243661</v>
      </c>
      <c r="Q1" s="38"/>
    </row>
    <row r="2" spans="1:25" ht="54.75" customHeight="1" thickBot="1" x14ac:dyDescent="0.3">
      <c r="C2" s="125" t="s">
        <v>41</v>
      </c>
      <c r="D2" s="126" t="s">
        <v>40</v>
      </c>
      <c r="E2" s="126"/>
      <c r="F2" s="126"/>
      <c r="G2" s="126"/>
      <c r="H2" s="127" t="s">
        <v>39</v>
      </c>
      <c r="I2" s="127"/>
      <c r="J2" s="127"/>
      <c r="K2" s="128" t="s">
        <v>38</v>
      </c>
      <c r="L2" s="128"/>
      <c r="M2" s="128"/>
      <c r="N2" s="160" t="s">
        <v>94</v>
      </c>
      <c r="O2" s="149" t="s">
        <v>95</v>
      </c>
      <c r="P2" s="149" t="s">
        <v>56</v>
      </c>
      <c r="Q2" s="133" t="s">
        <v>37</v>
      </c>
    </row>
    <row r="3" spans="1:25" ht="38.25" customHeight="1" thickBot="1" x14ac:dyDescent="0.3">
      <c r="C3" s="125"/>
      <c r="D3" s="125" t="s">
        <v>36</v>
      </c>
      <c r="E3" s="125" t="s">
        <v>35</v>
      </c>
      <c r="F3" s="125" t="s">
        <v>34</v>
      </c>
      <c r="G3" s="135" t="s">
        <v>29</v>
      </c>
      <c r="H3" s="136" t="s">
        <v>33</v>
      </c>
      <c r="I3" s="125" t="s">
        <v>32</v>
      </c>
      <c r="J3" s="137" t="s">
        <v>29</v>
      </c>
      <c r="K3" s="138" t="s">
        <v>31</v>
      </c>
      <c r="L3" s="125" t="s">
        <v>30</v>
      </c>
      <c r="M3" s="144" t="s">
        <v>29</v>
      </c>
      <c r="N3" s="160"/>
      <c r="O3" s="149"/>
      <c r="P3" s="149"/>
      <c r="Q3" s="133"/>
    </row>
    <row r="4" spans="1:25" ht="36.75" customHeight="1" thickBot="1" x14ac:dyDescent="0.3">
      <c r="C4" s="125"/>
      <c r="D4" s="125"/>
      <c r="E4" s="125"/>
      <c r="F4" s="125"/>
      <c r="G4" s="135"/>
      <c r="H4" s="136"/>
      <c r="I4" s="125"/>
      <c r="J4" s="137"/>
      <c r="K4" s="138"/>
      <c r="L4" s="125"/>
      <c r="M4" s="144"/>
      <c r="N4" s="160"/>
      <c r="O4" s="149"/>
      <c r="P4" s="149"/>
      <c r="Q4" s="133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43">
        <v>2.16</v>
      </c>
      <c r="E5" s="43">
        <v>1.96</v>
      </c>
      <c r="F5" s="43">
        <v>0.89</v>
      </c>
      <c r="G5" s="43">
        <f t="shared" ref="G5:G20" si="0">(IF(D5&lt;1.5,1,0))+(IF(E5&lt;1,1,0))+(IF(F5&lt;0.8,1,0))</f>
        <v>0</v>
      </c>
      <c r="H5" s="46">
        <v>368589418.89999998</v>
      </c>
      <c r="I5" s="46">
        <v>40925757.950000003</v>
      </c>
      <c r="J5" s="43">
        <f t="shared" ref="J5:J20" si="1">IF(I5&lt;0,1,0)+IF(H5&lt;0,1,0)</f>
        <v>0</v>
      </c>
      <c r="K5" s="45">
        <f t="shared" ref="K5:K20" si="2">SUM(I5/4)</f>
        <v>10231439.487500001</v>
      </c>
      <c r="L5" s="41">
        <f>+H5/K5</f>
        <v>36.025177038901973</v>
      </c>
      <c r="M5" s="40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2">
        <f>SUM(G5+J5+M5)</f>
        <v>0</v>
      </c>
      <c r="O5" s="42">
        <f>'ธ.ค.66'!N5</f>
        <v>0</v>
      </c>
      <c r="P5" s="55">
        <v>93429746.439999998</v>
      </c>
      <c r="Q5" s="51">
        <v>-34488336.469999999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43">
        <v>2.4900000000000002</v>
      </c>
      <c r="E6" s="43">
        <v>2.36</v>
      </c>
      <c r="F6" s="43">
        <v>1.47</v>
      </c>
      <c r="G6" s="43">
        <f>(IF(D6&lt;1.5,1,0))+(IF(E6&lt;1,1,0))+(IF(F6&lt;0.8,1,0))</f>
        <v>0</v>
      </c>
      <c r="H6" s="46">
        <v>175657376.90000001</v>
      </c>
      <c r="I6" s="46">
        <v>19089991.600000001</v>
      </c>
      <c r="J6" s="43">
        <f>IF(I6&lt;0,1,0)+IF(H6&lt;0,1,0)</f>
        <v>0</v>
      </c>
      <c r="K6" s="45">
        <f t="shared" si="2"/>
        <v>4772497.9000000004</v>
      </c>
      <c r="L6" s="41">
        <f>+H6/K6</f>
        <v>36.806171648603552</v>
      </c>
      <c r="M6" s="43">
        <f t="shared" ref="M6:M20" si="3">IF(AND(I6&lt;0,H6&lt;0),2,IF(AND(I6&gt;0,H6&gt;0),0,IF(AND(H6&lt;0,I6&gt;0),IF(ABS((H6/(I6/4)))&lt;3,0,IF(ABS((H6/(I6/4)))&gt;6,2,1)),IF(AND(H6&gt;0,I6&lt;0),IF(ABS((H6/(I6/4)))&lt;3,2,IF(ABS((H6/(I6/4)))&gt;6,0,1))))))</f>
        <v>0</v>
      </c>
      <c r="N6" s="42">
        <f t="shared" ref="N6:N8" si="4">SUM(G6+J6+M6)</f>
        <v>0</v>
      </c>
      <c r="O6" s="42">
        <f>'ธ.ค.66'!N6</f>
        <v>0</v>
      </c>
      <c r="P6" s="55">
        <v>36622682.5</v>
      </c>
      <c r="Q6" s="46">
        <v>55606900.399999999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43">
        <v>3.47</v>
      </c>
      <c r="E7" s="43">
        <v>3.33</v>
      </c>
      <c r="F7" s="47">
        <v>2.95</v>
      </c>
      <c r="G7" s="43">
        <f t="shared" si="0"/>
        <v>0</v>
      </c>
      <c r="H7" s="46">
        <v>59641400.109999999</v>
      </c>
      <c r="I7" s="46">
        <v>13011211.300000001</v>
      </c>
      <c r="J7" s="43">
        <f t="shared" si="1"/>
        <v>0</v>
      </c>
      <c r="K7" s="45">
        <f t="shared" si="2"/>
        <v>3252802.8250000002</v>
      </c>
      <c r="L7" s="41">
        <f t="shared" ref="L7:L20" si="5">+H7/K7</f>
        <v>18.33538745466381</v>
      </c>
      <c r="M7" s="40">
        <f t="shared" si="3"/>
        <v>0</v>
      </c>
      <c r="N7" s="42">
        <f t="shared" si="4"/>
        <v>0</v>
      </c>
      <c r="O7" s="42">
        <f>'ธ.ค.66'!N7</f>
        <v>0</v>
      </c>
      <c r="P7" s="55">
        <v>16520099.26</v>
      </c>
      <c r="Q7" s="46">
        <v>47101779.310000002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47">
        <v>14.25</v>
      </c>
      <c r="E8" s="43">
        <v>13.97</v>
      </c>
      <c r="F8" s="43">
        <v>13.37</v>
      </c>
      <c r="G8" s="43">
        <f t="shared" si="0"/>
        <v>0</v>
      </c>
      <c r="H8" s="46">
        <v>140382097.00999999</v>
      </c>
      <c r="I8" s="51">
        <v>-5626472.04</v>
      </c>
      <c r="J8" s="39">
        <f t="shared" si="1"/>
        <v>1</v>
      </c>
      <c r="K8" s="48">
        <f t="shared" si="2"/>
        <v>-1406618.01</v>
      </c>
      <c r="L8" s="41">
        <f t="shared" si="5"/>
        <v>-99.801151422766154</v>
      </c>
      <c r="M8" s="40">
        <f t="shared" si="3"/>
        <v>0</v>
      </c>
      <c r="N8" s="42">
        <f t="shared" si="4"/>
        <v>1</v>
      </c>
      <c r="O8" s="42">
        <f>'ธ.ค.66'!N8</f>
        <v>1</v>
      </c>
      <c r="P8" s="51">
        <v>-2531305.41</v>
      </c>
      <c r="Q8" s="46">
        <v>131016938.39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47">
        <v>3.49</v>
      </c>
      <c r="E9" s="43">
        <v>3.18</v>
      </c>
      <c r="F9" s="47">
        <v>2.86</v>
      </c>
      <c r="G9" s="43">
        <f t="shared" si="0"/>
        <v>0</v>
      </c>
      <c r="H9" s="46">
        <v>28542990.649999999</v>
      </c>
      <c r="I9" s="51">
        <v>-4603648.2300000004</v>
      </c>
      <c r="J9" s="39">
        <f t="shared" si="1"/>
        <v>1</v>
      </c>
      <c r="K9" s="48">
        <f t="shared" si="2"/>
        <v>-1150912.0575000001</v>
      </c>
      <c r="L9" s="41">
        <f t="shared" si="5"/>
        <v>-24.800322895218251</v>
      </c>
      <c r="M9" s="40">
        <f t="shared" si="3"/>
        <v>0</v>
      </c>
      <c r="N9" s="42">
        <f t="shared" ref="N9:N20" si="6">SUM(G9+J9+M9)</f>
        <v>1</v>
      </c>
      <c r="O9" s="42">
        <f>'ธ.ค.66'!N9</f>
        <v>1</v>
      </c>
      <c r="P9" s="51">
        <v>-1715461.5</v>
      </c>
      <c r="Q9" s="46">
        <v>21333158.469999999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39">
        <v>1.35</v>
      </c>
      <c r="E10" s="47">
        <v>1.25</v>
      </c>
      <c r="F10" s="43">
        <v>0.96</v>
      </c>
      <c r="G10" s="39">
        <f t="shared" si="0"/>
        <v>1</v>
      </c>
      <c r="H10" s="46">
        <v>4747059.33</v>
      </c>
      <c r="I10" s="51">
        <v>-4966378.01</v>
      </c>
      <c r="J10" s="39">
        <f t="shared" si="1"/>
        <v>1</v>
      </c>
      <c r="K10" s="48">
        <f t="shared" si="2"/>
        <v>-1241594.5024999999</v>
      </c>
      <c r="L10" s="41">
        <f t="shared" si="5"/>
        <v>-3.8233572397764384</v>
      </c>
      <c r="M10" s="39">
        <f t="shared" si="3"/>
        <v>1</v>
      </c>
      <c r="N10" s="117">
        <f t="shared" si="6"/>
        <v>3</v>
      </c>
      <c r="O10" s="42">
        <f>'ธ.ค.66'!N10</f>
        <v>2</v>
      </c>
      <c r="P10" s="51">
        <v>-3948157.39</v>
      </c>
      <c r="Q10" s="51">
        <v>-626934.42000000004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43">
        <v>4.12</v>
      </c>
      <c r="E11" s="47">
        <v>3.9</v>
      </c>
      <c r="F11" s="43">
        <v>3.37</v>
      </c>
      <c r="G11" s="43">
        <f t="shared" si="0"/>
        <v>0</v>
      </c>
      <c r="H11" s="46">
        <v>236000543.99000001</v>
      </c>
      <c r="I11" s="51">
        <v>-8752307.1999999993</v>
      </c>
      <c r="J11" s="39">
        <f t="shared" si="1"/>
        <v>1</v>
      </c>
      <c r="K11" s="48">
        <f t="shared" si="2"/>
        <v>-2188076.7999999998</v>
      </c>
      <c r="L11" s="41">
        <f t="shared" si="5"/>
        <v>-107.85752309516742</v>
      </c>
      <c r="M11" s="40">
        <f t="shared" si="3"/>
        <v>0</v>
      </c>
      <c r="N11" s="42">
        <f t="shared" si="6"/>
        <v>1</v>
      </c>
      <c r="O11" s="42">
        <f>'ธ.ค.66'!N11</f>
        <v>1</v>
      </c>
      <c r="P11" s="55">
        <v>232327.7</v>
      </c>
      <c r="Q11" s="46">
        <v>177355180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43">
        <v>2.35</v>
      </c>
      <c r="E12" s="43">
        <v>2.04</v>
      </c>
      <c r="F12" s="43">
        <v>1.46</v>
      </c>
      <c r="G12" s="43">
        <f t="shared" si="0"/>
        <v>0</v>
      </c>
      <c r="H12" s="46">
        <v>22195363.260000002</v>
      </c>
      <c r="I12" s="51">
        <v>-4813507</v>
      </c>
      <c r="J12" s="39">
        <f t="shared" si="1"/>
        <v>1</v>
      </c>
      <c r="K12" s="48">
        <f t="shared" si="2"/>
        <v>-1203376.75</v>
      </c>
      <c r="L12" s="41">
        <f t="shared" si="5"/>
        <v>-18.444234741945948</v>
      </c>
      <c r="M12" s="40">
        <f t="shared" si="3"/>
        <v>0</v>
      </c>
      <c r="N12" s="42">
        <f t="shared" si="6"/>
        <v>1</v>
      </c>
      <c r="O12" s="42">
        <f>'ธ.ค.66'!N12</f>
        <v>1</v>
      </c>
      <c r="P12" s="51">
        <v>-2605807.94</v>
      </c>
      <c r="Q12" s="46">
        <v>7584201.3700000001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47">
        <v>7.67</v>
      </c>
      <c r="E13" s="47">
        <v>7.3</v>
      </c>
      <c r="F13" s="43">
        <v>6.83</v>
      </c>
      <c r="G13" s="43">
        <f t="shared" si="0"/>
        <v>0</v>
      </c>
      <c r="H13" s="46">
        <v>61576486.630000003</v>
      </c>
      <c r="I13" s="51">
        <v>-5506200.0999999996</v>
      </c>
      <c r="J13" s="39">
        <f t="shared" si="1"/>
        <v>1</v>
      </c>
      <c r="K13" s="48">
        <f t="shared" si="2"/>
        <v>-1376550.0249999999</v>
      </c>
      <c r="L13" s="41">
        <f t="shared" si="5"/>
        <v>-44.732472857279568</v>
      </c>
      <c r="M13" s="40">
        <f t="shared" si="3"/>
        <v>0</v>
      </c>
      <c r="N13" s="42">
        <f t="shared" si="6"/>
        <v>1</v>
      </c>
      <c r="O13" s="42">
        <f>'ธ.ค.66'!N13</f>
        <v>1</v>
      </c>
      <c r="P13" s="51">
        <v>-3150189.93</v>
      </c>
      <c r="Q13" s="46">
        <v>53795252.700000003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43">
        <v>5.52</v>
      </c>
      <c r="E14" s="43">
        <v>5.17</v>
      </c>
      <c r="F14" s="43">
        <v>4.2300000000000004</v>
      </c>
      <c r="G14" s="43">
        <f t="shared" si="0"/>
        <v>0</v>
      </c>
      <c r="H14" s="46">
        <v>57191236.890000001</v>
      </c>
      <c r="I14" s="46">
        <v>1169250.53</v>
      </c>
      <c r="J14" s="43">
        <f t="shared" si="1"/>
        <v>0</v>
      </c>
      <c r="K14" s="45">
        <f t="shared" si="2"/>
        <v>292312.63250000001</v>
      </c>
      <c r="L14" s="41">
        <f t="shared" si="5"/>
        <v>195.65092483644202</v>
      </c>
      <c r="M14" s="40">
        <f t="shared" si="3"/>
        <v>0</v>
      </c>
      <c r="N14" s="42">
        <f t="shared" si="6"/>
        <v>0</v>
      </c>
      <c r="O14" s="42">
        <f>'ธ.ค.66'!N14</f>
        <v>0</v>
      </c>
      <c r="P14" s="55">
        <v>2660804.87</v>
      </c>
      <c r="Q14" s="46">
        <v>40805777.039999999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43">
        <v>5.65</v>
      </c>
      <c r="E15" s="43">
        <v>5.08</v>
      </c>
      <c r="F15" s="47">
        <v>4.37</v>
      </c>
      <c r="G15" s="43">
        <f t="shared" si="0"/>
        <v>0</v>
      </c>
      <c r="H15" s="46">
        <v>52371862.710000001</v>
      </c>
      <c r="I15" s="51">
        <v>-3905247.57</v>
      </c>
      <c r="J15" s="39">
        <f t="shared" si="1"/>
        <v>1</v>
      </c>
      <c r="K15" s="48">
        <f t="shared" si="2"/>
        <v>-976311.89249999996</v>
      </c>
      <c r="L15" s="41">
        <f t="shared" si="5"/>
        <v>-53.642553278638879</v>
      </c>
      <c r="M15" s="40">
        <f t="shared" si="3"/>
        <v>0</v>
      </c>
      <c r="N15" s="42">
        <f t="shared" si="6"/>
        <v>1</v>
      </c>
      <c r="O15" s="42">
        <f>'ธ.ค.66'!N15</f>
        <v>1</v>
      </c>
      <c r="P15" s="51">
        <v>-1337818.95</v>
      </c>
      <c r="Q15" s="46">
        <v>37983008.960000001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47">
        <v>6.73</v>
      </c>
      <c r="E16" s="47">
        <v>6.3</v>
      </c>
      <c r="F16" s="43">
        <v>5.85</v>
      </c>
      <c r="G16" s="43">
        <f t="shared" si="0"/>
        <v>0</v>
      </c>
      <c r="H16" s="46">
        <v>101607745.56</v>
      </c>
      <c r="I16" s="51">
        <v>-16699141.789999999</v>
      </c>
      <c r="J16" s="39">
        <f t="shared" si="1"/>
        <v>1</v>
      </c>
      <c r="K16" s="48">
        <f t="shared" si="2"/>
        <v>-4174785.4474999998</v>
      </c>
      <c r="L16" s="41">
        <f t="shared" si="5"/>
        <v>-24.338435313088027</v>
      </c>
      <c r="M16" s="40">
        <f t="shared" si="3"/>
        <v>0</v>
      </c>
      <c r="N16" s="42">
        <f t="shared" si="6"/>
        <v>1</v>
      </c>
      <c r="O16" s="42">
        <f>'ธ.ค.66'!N16</f>
        <v>1</v>
      </c>
      <c r="P16" s="51">
        <v>-7905358.7300000004</v>
      </c>
      <c r="Q16" s="46">
        <v>85969296.180000007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47">
        <v>2.54</v>
      </c>
      <c r="E17" s="47">
        <v>2.33</v>
      </c>
      <c r="F17" s="43">
        <v>2.09</v>
      </c>
      <c r="G17" s="43">
        <f t="shared" si="0"/>
        <v>0</v>
      </c>
      <c r="H17" s="46">
        <v>12784341.439999999</v>
      </c>
      <c r="I17" s="51">
        <v>-5608394.4800000004</v>
      </c>
      <c r="J17" s="39">
        <f t="shared" si="1"/>
        <v>1</v>
      </c>
      <c r="K17" s="48">
        <f t="shared" si="2"/>
        <v>-1402098.62</v>
      </c>
      <c r="L17" s="41">
        <f t="shared" si="5"/>
        <v>-9.1180044382327381</v>
      </c>
      <c r="M17" s="40">
        <f t="shared" si="3"/>
        <v>0</v>
      </c>
      <c r="N17" s="42">
        <f t="shared" si="6"/>
        <v>1</v>
      </c>
      <c r="O17" s="42">
        <f>'ธ.ค.66'!N17</f>
        <v>1</v>
      </c>
      <c r="P17" s="51">
        <v>-4452936.32</v>
      </c>
      <c r="Q17" s="46">
        <v>9030678.5800000001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47">
        <v>11</v>
      </c>
      <c r="E18" s="43">
        <v>10.84</v>
      </c>
      <c r="F18" s="43">
        <v>8.68</v>
      </c>
      <c r="G18" s="43">
        <f t="shared" si="0"/>
        <v>0</v>
      </c>
      <c r="H18" s="46">
        <v>177849081.28999999</v>
      </c>
      <c r="I18" s="51">
        <v>-4908348.82</v>
      </c>
      <c r="J18" s="39">
        <f t="shared" si="1"/>
        <v>1</v>
      </c>
      <c r="K18" s="48">
        <f t="shared" si="2"/>
        <v>-1227087.2050000001</v>
      </c>
      <c r="L18" s="41">
        <f t="shared" si="5"/>
        <v>-144.93597567093855</v>
      </c>
      <c r="M18" s="40">
        <f t="shared" si="3"/>
        <v>0</v>
      </c>
      <c r="N18" s="42">
        <f t="shared" si="6"/>
        <v>1</v>
      </c>
      <c r="O18" s="42">
        <f>'ธ.ค.66'!N18</f>
        <v>1</v>
      </c>
      <c r="P18" s="51">
        <v>-2407197.62</v>
      </c>
      <c r="Q18" s="46">
        <v>136618400.49000001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39">
        <v>1.23</v>
      </c>
      <c r="E19" s="39">
        <v>0.97</v>
      </c>
      <c r="F19" s="39">
        <v>0.56999999999999995</v>
      </c>
      <c r="G19" s="39">
        <f t="shared" si="0"/>
        <v>3</v>
      </c>
      <c r="H19" s="46">
        <v>2064209.25</v>
      </c>
      <c r="I19" s="51">
        <v>-2802780.28</v>
      </c>
      <c r="J19" s="39">
        <f t="shared" si="1"/>
        <v>1</v>
      </c>
      <c r="K19" s="48">
        <f t="shared" si="2"/>
        <v>-700695.07</v>
      </c>
      <c r="L19" s="41">
        <f t="shared" si="5"/>
        <v>-2.945945159853915</v>
      </c>
      <c r="M19" s="39">
        <f t="shared" si="3"/>
        <v>2</v>
      </c>
      <c r="N19" s="119">
        <f t="shared" si="6"/>
        <v>6</v>
      </c>
      <c r="O19" s="118">
        <f>'ธ.ค.66'!N19</f>
        <v>2</v>
      </c>
      <c r="P19" s="51">
        <v>-1428329.12</v>
      </c>
      <c r="Q19" s="51">
        <v>-3942560.79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43">
        <v>1.58</v>
      </c>
      <c r="E20" s="47">
        <v>1.4</v>
      </c>
      <c r="F20" s="43">
        <v>1.0900000000000001</v>
      </c>
      <c r="G20" s="43">
        <f t="shared" si="0"/>
        <v>0</v>
      </c>
      <c r="H20" s="46">
        <v>4602395.03</v>
      </c>
      <c r="I20" s="51">
        <v>-2170505.2200000002</v>
      </c>
      <c r="J20" s="39">
        <f t="shared" si="1"/>
        <v>1</v>
      </c>
      <c r="K20" s="48">
        <f t="shared" si="2"/>
        <v>-542626.30500000005</v>
      </c>
      <c r="L20" s="41">
        <f t="shared" si="5"/>
        <v>-8.4817027622720946</v>
      </c>
      <c r="M20" s="40">
        <f t="shared" si="3"/>
        <v>0</v>
      </c>
      <c r="N20" s="42">
        <f t="shared" si="6"/>
        <v>1</v>
      </c>
      <c r="O20" s="42">
        <f>'ธ.ค.66'!N20</f>
        <v>1</v>
      </c>
      <c r="P20" s="51">
        <v>-1188409.32</v>
      </c>
      <c r="Q20" s="46">
        <v>677689.42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5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56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40" t="s">
        <v>5</v>
      </c>
      <c r="M23" s="140"/>
      <c r="N23" s="140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40"/>
      <c r="M24" s="140"/>
      <c r="N24" s="140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40" t="s">
        <v>5</v>
      </c>
      <c r="M25" s="140"/>
      <c r="N25" s="140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40"/>
      <c r="M26" s="140"/>
      <c r="N26" s="140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41" t="s">
        <v>5</v>
      </c>
      <c r="L27" s="141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40" t="s">
        <v>5</v>
      </c>
      <c r="M30" s="140"/>
      <c r="N30" s="140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40"/>
      <c r="M31" s="140"/>
      <c r="N31" s="140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9 N11:N18 N20">
    <cfRule type="cellIs" dxfId="27" priority="1" operator="greaterThan">
      <formula>0.5</formula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I10" sqref="I1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4" t="s">
        <v>96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P1" s="54" t="s">
        <v>53</v>
      </c>
      <c r="Q1" s="38">
        <v>45362</v>
      </c>
    </row>
    <row r="2" spans="1:25" ht="54.75" customHeight="1" thickBot="1" x14ac:dyDescent="0.3">
      <c r="C2" s="125" t="s">
        <v>41</v>
      </c>
      <c r="D2" s="126" t="s">
        <v>40</v>
      </c>
      <c r="E2" s="126"/>
      <c r="F2" s="126"/>
      <c r="G2" s="126"/>
      <c r="H2" s="127" t="s">
        <v>39</v>
      </c>
      <c r="I2" s="127"/>
      <c r="J2" s="127"/>
      <c r="K2" s="128" t="s">
        <v>38</v>
      </c>
      <c r="L2" s="128"/>
      <c r="M2" s="128"/>
      <c r="N2" s="143" t="s">
        <v>97</v>
      </c>
      <c r="O2" s="149" t="s">
        <v>98</v>
      </c>
      <c r="P2" s="149" t="s">
        <v>56</v>
      </c>
      <c r="Q2" s="133" t="s">
        <v>57</v>
      </c>
    </row>
    <row r="3" spans="1:25" ht="38.25" customHeight="1" thickBot="1" x14ac:dyDescent="0.3">
      <c r="C3" s="125"/>
      <c r="D3" s="134" t="s">
        <v>36</v>
      </c>
      <c r="E3" s="134" t="s">
        <v>35</v>
      </c>
      <c r="F3" s="134" t="s">
        <v>34</v>
      </c>
      <c r="G3" s="135" t="s">
        <v>29</v>
      </c>
      <c r="H3" s="136" t="s">
        <v>33</v>
      </c>
      <c r="I3" s="125" t="s">
        <v>32</v>
      </c>
      <c r="J3" s="137" t="s">
        <v>29</v>
      </c>
      <c r="K3" s="138" t="s">
        <v>31</v>
      </c>
      <c r="L3" s="125" t="s">
        <v>30</v>
      </c>
      <c r="M3" s="144" t="s">
        <v>29</v>
      </c>
      <c r="N3" s="143"/>
      <c r="O3" s="149"/>
      <c r="P3" s="149"/>
      <c r="Q3" s="133"/>
    </row>
    <row r="4" spans="1:25" ht="51.75" customHeight="1" thickBot="1" x14ac:dyDescent="0.3">
      <c r="C4" s="125"/>
      <c r="D4" s="134"/>
      <c r="E4" s="134"/>
      <c r="F4" s="134"/>
      <c r="G4" s="135"/>
      <c r="H4" s="136"/>
      <c r="I4" s="125"/>
      <c r="J4" s="137"/>
      <c r="K4" s="138"/>
      <c r="L4" s="125"/>
      <c r="M4" s="144"/>
      <c r="N4" s="143"/>
      <c r="O4" s="149"/>
      <c r="P4" s="149"/>
      <c r="Q4" s="133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43">
        <v>2.13</v>
      </c>
      <c r="E5" s="43">
        <v>1.92</v>
      </c>
      <c r="F5" s="43">
        <v>0.81</v>
      </c>
      <c r="G5" s="43">
        <f t="shared" ref="G5:G20" si="0">(IF(D5&lt;1.5,1,0))+(IF(E5&lt;1,1,0))+(IF(F5&lt;0.8,1,0))</f>
        <v>0</v>
      </c>
      <c r="H5" s="46">
        <v>373669788.29000002</v>
      </c>
      <c r="I5" s="46">
        <v>49883222.020000003</v>
      </c>
      <c r="J5" s="43">
        <f t="shared" ref="J5:J20" si="1">IF(I5&lt;0,1,0)+IF(H5&lt;0,1,0)</f>
        <v>0</v>
      </c>
      <c r="K5" s="45">
        <f t="shared" ref="K5:K20" si="2">SUM(I5/5)</f>
        <v>9976644.404000001</v>
      </c>
      <c r="L5" s="41">
        <f>+H5/K5</f>
        <v>37.454455943140779</v>
      </c>
      <c r="M5" s="40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2">
        <f t="shared" ref="N5:N20" si="3">SUM(G5+J5+M5)</f>
        <v>0</v>
      </c>
      <c r="O5" s="42">
        <f>'ม.ค.67'!N5</f>
        <v>0</v>
      </c>
      <c r="P5" s="55">
        <v>111822176.72</v>
      </c>
      <c r="Q5" s="51">
        <v>-63999645.399999999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43">
        <v>2.56</v>
      </c>
      <c r="E6" s="47">
        <v>2.42</v>
      </c>
      <c r="F6" s="47">
        <v>1.5</v>
      </c>
      <c r="G6" s="43">
        <f t="shared" si="0"/>
        <v>0</v>
      </c>
      <c r="H6" s="46">
        <v>175564515.88</v>
      </c>
      <c r="I6" s="46">
        <v>17750948.190000001</v>
      </c>
      <c r="J6" s="43">
        <f>IF(I6&lt;0,1,0)+IF(H6&lt;0,1,0)</f>
        <v>0</v>
      </c>
      <c r="K6" s="45">
        <f t="shared" si="2"/>
        <v>3550189.6380000003</v>
      </c>
      <c r="L6" s="41">
        <f>+H6/K6</f>
        <v>49.452151513490499</v>
      </c>
      <c r="M6" s="43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2">
        <f>SUM(G6+J6+M6)</f>
        <v>0</v>
      </c>
      <c r="O6" s="42">
        <f>'ม.ค.67'!N6</f>
        <v>0</v>
      </c>
      <c r="P6" s="55">
        <v>39766608.219999999</v>
      </c>
      <c r="Q6" s="46">
        <v>55912974.159999996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47">
        <v>3.69</v>
      </c>
      <c r="E7" s="43">
        <v>3.56</v>
      </c>
      <c r="F7" s="43">
        <v>3.12</v>
      </c>
      <c r="G7" s="43">
        <f t="shared" si="0"/>
        <v>0</v>
      </c>
      <c r="H7" s="46">
        <v>57792350.590000004</v>
      </c>
      <c r="I7" s="46">
        <v>112544139.65000001</v>
      </c>
      <c r="J7" s="43">
        <f t="shared" si="1"/>
        <v>0</v>
      </c>
      <c r="K7" s="45">
        <f t="shared" si="2"/>
        <v>22508827.93</v>
      </c>
      <c r="L7" s="41">
        <f t="shared" ref="L7:L20" si="5">+H7/K7</f>
        <v>2.5675415339140675</v>
      </c>
      <c r="M7" s="40">
        <f t="shared" si="4"/>
        <v>0</v>
      </c>
      <c r="N7" s="42">
        <f t="shared" si="3"/>
        <v>0</v>
      </c>
      <c r="O7" s="42">
        <f>'ม.ค.67'!N7</f>
        <v>0</v>
      </c>
      <c r="P7" s="55">
        <v>117265581.03</v>
      </c>
      <c r="Q7" s="46">
        <v>45517708.869999997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43">
        <v>14.08</v>
      </c>
      <c r="E8" s="43">
        <v>13.82</v>
      </c>
      <c r="F8" s="43">
        <v>13.19</v>
      </c>
      <c r="G8" s="43">
        <f t="shared" si="0"/>
        <v>0</v>
      </c>
      <c r="H8" s="46">
        <v>137205291.09</v>
      </c>
      <c r="I8" s="51">
        <v>-9501035.6799999997</v>
      </c>
      <c r="J8" s="39">
        <f t="shared" si="1"/>
        <v>1</v>
      </c>
      <c r="K8" s="48">
        <f t="shared" si="2"/>
        <v>-1900207.1359999999</v>
      </c>
      <c r="L8" s="41">
        <f t="shared" si="5"/>
        <v>-72.20543933900899</v>
      </c>
      <c r="M8" s="40">
        <f t="shared" si="4"/>
        <v>0</v>
      </c>
      <c r="N8" s="42">
        <f t="shared" si="3"/>
        <v>1</v>
      </c>
      <c r="O8" s="42">
        <f>'ม.ค.67'!N8</f>
        <v>1</v>
      </c>
      <c r="P8" s="51">
        <v>-5652899.1399999997</v>
      </c>
      <c r="Q8" s="46">
        <v>127831244.45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43">
        <v>3.41</v>
      </c>
      <c r="E9" s="43">
        <v>3.09</v>
      </c>
      <c r="F9" s="43">
        <v>2.57</v>
      </c>
      <c r="G9" s="43">
        <f t="shared" si="0"/>
        <v>0</v>
      </c>
      <c r="H9" s="46">
        <v>29291316.68</v>
      </c>
      <c r="I9" s="51">
        <v>-4266815.55</v>
      </c>
      <c r="J9" s="39">
        <f t="shared" si="1"/>
        <v>1</v>
      </c>
      <c r="K9" s="48">
        <f>SUM(I9/5)</f>
        <v>-853363.11</v>
      </c>
      <c r="L9" s="41">
        <f>+H9/K9</f>
        <v>-34.324563994804038</v>
      </c>
      <c r="M9" s="40">
        <f t="shared" si="4"/>
        <v>0</v>
      </c>
      <c r="N9" s="42">
        <f t="shared" si="3"/>
        <v>1</v>
      </c>
      <c r="O9" s="42">
        <f>'ม.ค.67'!N9</f>
        <v>1</v>
      </c>
      <c r="P9" s="51">
        <v>-654845.17000000004</v>
      </c>
      <c r="Q9" s="46">
        <v>19152299.870000001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39">
        <v>1.18</v>
      </c>
      <c r="E10" s="43">
        <v>1.08</v>
      </c>
      <c r="F10" s="47">
        <v>0.84</v>
      </c>
      <c r="G10" s="39">
        <f t="shared" si="0"/>
        <v>1</v>
      </c>
      <c r="H10" s="46">
        <v>2637055.98</v>
      </c>
      <c r="I10" s="51">
        <v>-6714311.4500000002</v>
      </c>
      <c r="J10" s="39">
        <f t="shared" si="1"/>
        <v>1</v>
      </c>
      <c r="K10" s="48">
        <f t="shared" si="2"/>
        <v>-1342862.29</v>
      </c>
      <c r="L10" s="41">
        <f t="shared" si="5"/>
        <v>-1.9637575644483991</v>
      </c>
      <c r="M10" s="39">
        <f t="shared" si="4"/>
        <v>2</v>
      </c>
      <c r="N10" s="42">
        <f t="shared" si="3"/>
        <v>4</v>
      </c>
      <c r="O10" s="42">
        <f>'ม.ค.67'!N10</f>
        <v>3</v>
      </c>
      <c r="P10" s="51">
        <v>-5444742.9900000002</v>
      </c>
      <c r="Q10" s="51">
        <v>-2365078.37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43">
        <v>3.81</v>
      </c>
      <c r="E11" s="43">
        <v>3.65</v>
      </c>
      <c r="F11" s="43">
        <v>3.25</v>
      </c>
      <c r="G11" s="43">
        <f t="shared" si="0"/>
        <v>0</v>
      </c>
      <c r="H11" s="46">
        <v>217911914.44</v>
      </c>
      <c r="I11" s="51">
        <v>-28033508.760000002</v>
      </c>
      <c r="J11" s="39">
        <f t="shared" si="1"/>
        <v>1</v>
      </c>
      <c r="K11" s="48">
        <f t="shared" si="2"/>
        <v>-5606701.7520000003</v>
      </c>
      <c r="L11" s="41">
        <f t="shared" si="5"/>
        <v>-38.866328918292709</v>
      </c>
      <c r="M11" s="40">
        <f t="shared" si="4"/>
        <v>0</v>
      </c>
      <c r="N11" s="42">
        <f t="shared" si="3"/>
        <v>1</v>
      </c>
      <c r="O11" s="42">
        <f>'ม.ค.67'!N11</f>
        <v>1</v>
      </c>
      <c r="P11" s="51">
        <v>-17067569.829999998</v>
      </c>
      <c r="Q11" s="46">
        <v>172391405.83000001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43">
        <v>2.14</v>
      </c>
      <c r="E12" s="43">
        <v>1.79</v>
      </c>
      <c r="F12" s="43">
        <v>1.21</v>
      </c>
      <c r="G12" s="43">
        <f t="shared" si="0"/>
        <v>0</v>
      </c>
      <c r="H12" s="46">
        <v>18344682.559999999</v>
      </c>
      <c r="I12" s="51">
        <v>-8671965.1799999997</v>
      </c>
      <c r="J12" s="39">
        <f t="shared" si="1"/>
        <v>1</v>
      </c>
      <c r="K12" s="48">
        <f t="shared" si="2"/>
        <v>-1734393.0359999998</v>
      </c>
      <c r="L12" s="41">
        <f t="shared" si="5"/>
        <v>-10.577004277132026</v>
      </c>
      <c r="M12" s="40">
        <f t="shared" si="4"/>
        <v>0</v>
      </c>
      <c r="N12" s="42">
        <f t="shared" si="3"/>
        <v>1</v>
      </c>
      <c r="O12" s="42">
        <f>'ม.ค.67'!N12</f>
        <v>1</v>
      </c>
      <c r="P12" s="51">
        <v>-5808982.7400000002</v>
      </c>
      <c r="Q12" s="46">
        <v>3384928.14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43">
        <v>5.78</v>
      </c>
      <c r="E13" s="43">
        <v>5.5</v>
      </c>
      <c r="F13" s="43">
        <v>5.01</v>
      </c>
      <c r="G13" s="43">
        <f t="shared" si="0"/>
        <v>0</v>
      </c>
      <c r="H13" s="46">
        <v>58074771.369999997</v>
      </c>
      <c r="I13" s="51">
        <v>-9306199.0199999996</v>
      </c>
      <c r="J13" s="39">
        <f t="shared" si="1"/>
        <v>1</v>
      </c>
      <c r="K13" s="48">
        <f t="shared" si="2"/>
        <v>-1861239.804</v>
      </c>
      <c r="L13" s="41">
        <f t="shared" si="5"/>
        <v>-31.202197183399587</v>
      </c>
      <c r="M13" s="40">
        <f t="shared" si="4"/>
        <v>0</v>
      </c>
      <c r="N13" s="42">
        <f t="shared" si="3"/>
        <v>1</v>
      </c>
      <c r="O13" s="42">
        <f>'ม.ค.67'!N13</f>
        <v>1</v>
      </c>
      <c r="P13" s="51">
        <v>-6362690.3600000003</v>
      </c>
      <c r="Q13" s="46">
        <v>48675421.460000001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43">
        <v>5.04</v>
      </c>
      <c r="E14" s="43">
        <v>4.71</v>
      </c>
      <c r="F14" s="43">
        <v>3.84</v>
      </c>
      <c r="G14" s="43">
        <f t="shared" si="0"/>
        <v>0</v>
      </c>
      <c r="H14" s="46">
        <v>54667477.409999996</v>
      </c>
      <c r="I14" s="51">
        <v>-1609519.99</v>
      </c>
      <c r="J14" s="39">
        <f t="shared" si="1"/>
        <v>1</v>
      </c>
      <c r="K14" s="48">
        <f t="shared" si="2"/>
        <v>-321903.99800000002</v>
      </c>
      <c r="L14" s="41">
        <f t="shared" si="5"/>
        <v>-169.82540679721535</v>
      </c>
      <c r="M14" s="40">
        <f t="shared" si="4"/>
        <v>0</v>
      </c>
      <c r="N14" s="42">
        <f t="shared" si="3"/>
        <v>1</v>
      </c>
      <c r="O14" s="42">
        <f>'ม.ค.67'!N14</f>
        <v>0</v>
      </c>
      <c r="P14" s="55">
        <v>252725.46</v>
      </c>
      <c r="Q14" s="46">
        <v>38434556.640000001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47">
        <v>5.4</v>
      </c>
      <c r="E15" s="43">
        <v>4.8499999999999996</v>
      </c>
      <c r="F15" s="43">
        <v>4.16</v>
      </c>
      <c r="G15" s="43">
        <f t="shared" si="0"/>
        <v>0</v>
      </c>
      <c r="H15" s="46">
        <v>50420113.780000001</v>
      </c>
      <c r="I15" s="51">
        <v>-6350870.75</v>
      </c>
      <c r="J15" s="39">
        <f t="shared" si="1"/>
        <v>1</v>
      </c>
      <c r="K15" s="48">
        <f t="shared" si="2"/>
        <v>-1270174.1499999999</v>
      </c>
      <c r="L15" s="41">
        <f t="shared" si="5"/>
        <v>-39.695433716707278</v>
      </c>
      <c r="M15" s="40">
        <f t="shared" si="4"/>
        <v>0</v>
      </c>
      <c r="N15" s="42">
        <f t="shared" si="3"/>
        <v>1</v>
      </c>
      <c r="O15" s="42">
        <f>'ม.ค.67'!N15</f>
        <v>1</v>
      </c>
      <c r="P15" s="51">
        <v>-3151971.88</v>
      </c>
      <c r="Q15" s="46">
        <v>36178298.170000002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43">
        <v>6.17</v>
      </c>
      <c r="E16" s="43">
        <v>5.79</v>
      </c>
      <c r="F16" s="43">
        <v>4.87</v>
      </c>
      <c r="G16" s="43">
        <f t="shared" si="0"/>
        <v>0</v>
      </c>
      <c r="H16" s="46">
        <v>108093661.56</v>
      </c>
      <c r="I16" s="51">
        <v>-9881471.9199999999</v>
      </c>
      <c r="J16" s="39">
        <f t="shared" si="1"/>
        <v>1</v>
      </c>
      <c r="K16" s="48">
        <f t="shared" si="2"/>
        <v>-1976294.3840000001</v>
      </c>
      <c r="L16" s="41">
        <f t="shared" si="5"/>
        <v>-54.695121554320018</v>
      </c>
      <c r="M16" s="40">
        <f t="shared" si="4"/>
        <v>0</v>
      </c>
      <c r="N16" s="42">
        <f t="shared" si="3"/>
        <v>1</v>
      </c>
      <c r="O16" s="42">
        <f>'ม.ค.67'!N16</f>
        <v>1</v>
      </c>
      <c r="P16" s="55">
        <v>1141632.3899999999</v>
      </c>
      <c r="Q16" s="46">
        <v>80872948.670000002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47">
        <v>2.2999999999999998</v>
      </c>
      <c r="E17" s="43">
        <v>2.09</v>
      </c>
      <c r="F17" s="43">
        <v>1.85</v>
      </c>
      <c r="G17" s="43">
        <f t="shared" si="0"/>
        <v>0</v>
      </c>
      <c r="H17" s="46">
        <v>11157294.02</v>
      </c>
      <c r="I17" s="51">
        <v>-7514661.2000000002</v>
      </c>
      <c r="J17" s="39">
        <f t="shared" si="1"/>
        <v>1</v>
      </c>
      <c r="K17" s="48">
        <f t="shared" si="2"/>
        <v>-1502932.24</v>
      </c>
      <c r="L17" s="41">
        <f t="shared" si="5"/>
        <v>-7.4236839978893521</v>
      </c>
      <c r="M17" s="40">
        <f t="shared" si="4"/>
        <v>0</v>
      </c>
      <c r="N17" s="42">
        <f t="shared" si="3"/>
        <v>1</v>
      </c>
      <c r="O17" s="42">
        <f>'ม.ค.67'!N17</f>
        <v>1</v>
      </c>
      <c r="P17" s="51">
        <v>-6079983.7400000002</v>
      </c>
      <c r="Q17" s="46">
        <v>7308964.0199999996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43">
        <v>10.76</v>
      </c>
      <c r="E18" s="47">
        <v>10.6</v>
      </c>
      <c r="F18" s="43">
        <v>8.36</v>
      </c>
      <c r="G18" s="43">
        <f t="shared" si="0"/>
        <v>0</v>
      </c>
      <c r="H18" s="46">
        <v>175548771.44999999</v>
      </c>
      <c r="I18" s="51">
        <v>-7276608.71</v>
      </c>
      <c r="J18" s="39">
        <f t="shared" si="1"/>
        <v>1</v>
      </c>
      <c r="K18" s="48">
        <f t="shared" si="2"/>
        <v>-1455321.7420000001</v>
      </c>
      <c r="L18" s="41">
        <f t="shared" si="5"/>
        <v>-120.62540288084281</v>
      </c>
      <c r="M18" s="40">
        <f t="shared" si="4"/>
        <v>0</v>
      </c>
      <c r="N18" s="42">
        <f t="shared" si="3"/>
        <v>1</v>
      </c>
      <c r="O18" s="42">
        <f>'ม.ค.67'!N18</f>
        <v>1</v>
      </c>
      <c r="P18" s="51">
        <v>-4155327.31</v>
      </c>
      <c r="Q18" s="46">
        <v>132427010.12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39">
        <v>1.32</v>
      </c>
      <c r="E19" s="43">
        <v>1.05</v>
      </c>
      <c r="F19" s="39">
        <v>0.57999999999999996</v>
      </c>
      <c r="G19" s="39">
        <f t="shared" si="0"/>
        <v>2</v>
      </c>
      <c r="H19" s="46">
        <v>2978320.56</v>
      </c>
      <c r="I19" s="78">
        <v>-2083929.49</v>
      </c>
      <c r="J19" s="39">
        <f t="shared" si="1"/>
        <v>1</v>
      </c>
      <c r="K19" s="48">
        <f t="shared" si="2"/>
        <v>-416785.89799999999</v>
      </c>
      <c r="L19" s="41">
        <f>+H19/K19</f>
        <v>-7.1459245005453615</v>
      </c>
      <c r="M19" s="40">
        <f>IF(AND(I19&lt;0,H19&lt;0),2,IF(AND(I19&gt;0,H19&gt;0),0,IF(AND(H19&lt;0,I19&gt;0),IF(ABS((H19/(I19/5)))&lt;3,0,IF(ABS((H19/(I19/5)))&gt;6,2,1)),IF(AND(H19&gt;0,I19&lt;0),IF(ABS((H19/(I19/5)))&lt;3,2,IF(ABS((H19/(I19/5)))&gt;6,0,1))))))</f>
        <v>0</v>
      </c>
      <c r="N19" s="42">
        <f t="shared" si="3"/>
        <v>3</v>
      </c>
      <c r="O19" s="42">
        <f>'ม.ค.67'!N19</f>
        <v>6</v>
      </c>
      <c r="P19" s="51">
        <v>-365865.54</v>
      </c>
      <c r="Q19" s="51">
        <v>-3912393.55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39">
        <v>1.32</v>
      </c>
      <c r="E20" s="47">
        <v>1.1399999999999999</v>
      </c>
      <c r="F20" s="39">
        <v>0.73</v>
      </c>
      <c r="G20" s="39">
        <f t="shared" si="0"/>
        <v>2</v>
      </c>
      <c r="H20" s="46">
        <v>2525951.9</v>
      </c>
      <c r="I20" s="51">
        <v>-4255709.82</v>
      </c>
      <c r="J20" s="39">
        <f t="shared" si="1"/>
        <v>1</v>
      </c>
      <c r="K20" s="48">
        <f t="shared" si="2"/>
        <v>-851141.96400000004</v>
      </c>
      <c r="L20" s="41">
        <f t="shared" si="5"/>
        <v>-2.9677210228586492</v>
      </c>
      <c r="M20" s="39">
        <f t="shared" si="4"/>
        <v>2</v>
      </c>
      <c r="N20" s="42">
        <f t="shared" si="3"/>
        <v>5</v>
      </c>
      <c r="O20" s="42">
        <f>'ม.ค.67'!N20</f>
        <v>1</v>
      </c>
      <c r="P20" s="51">
        <v>-2712424.5</v>
      </c>
      <c r="Q20" s="51">
        <v>-2154506.4300000002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40" t="s">
        <v>5</v>
      </c>
      <c r="M23" s="140"/>
      <c r="N23" s="140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40"/>
      <c r="M24" s="140"/>
      <c r="N24" s="140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40" t="s">
        <v>5</v>
      </c>
      <c r="M25" s="140"/>
      <c r="N25" s="140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40"/>
      <c r="M26" s="140"/>
      <c r="N26" s="140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41" t="s">
        <v>5</v>
      </c>
      <c r="L27" s="141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40" t="s">
        <v>5</v>
      </c>
      <c r="M30" s="140"/>
      <c r="N30" s="140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40"/>
      <c r="M31" s="140"/>
      <c r="N31" s="140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2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7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M8" sqref="M8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4" t="s">
        <v>99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P1" s="54" t="s">
        <v>53</v>
      </c>
      <c r="Q1" s="38">
        <v>45368</v>
      </c>
    </row>
    <row r="2" spans="1:25" ht="54.75" customHeight="1" thickBot="1" x14ac:dyDescent="0.3">
      <c r="C2" s="125" t="s">
        <v>41</v>
      </c>
      <c r="D2" s="126" t="s">
        <v>40</v>
      </c>
      <c r="E2" s="126"/>
      <c r="F2" s="126"/>
      <c r="G2" s="126"/>
      <c r="H2" s="127" t="s">
        <v>39</v>
      </c>
      <c r="I2" s="127"/>
      <c r="J2" s="127"/>
      <c r="K2" s="128" t="s">
        <v>38</v>
      </c>
      <c r="L2" s="128"/>
      <c r="M2" s="128"/>
      <c r="N2" s="161" t="s">
        <v>100</v>
      </c>
      <c r="O2" s="149" t="s">
        <v>101</v>
      </c>
      <c r="P2" s="149" t="s">
        <v>56</v>
      </c>
      <c r="Q2" s="145" t="s">
        <v>60</v>
      </c>
    </row>
    <row r="3" spans="1:25" ht="38.25" customHeight="1" thickBot="1" x14ac:dyDescent="0.3">
      <c r="C3" s="125"/>
      <c r="D3" s="134" t="s">
        <v>36</v>
      </c>
      <c r="E3" s="134" t="s">
        <v>35</v>
      </c>
      <c r="F3" s="134" t="s">
        <v>34</v>
      </c>
      <c r="G3" s="135" t="s">
        <v>29</v>
      </c>
      <c r="H3" s="136" t="s">
        <v>33</v>
      </c>
      <c r="I3" s="125" t="s">
        <v>32</v>
      </c>
      <c r="J3" s="137" t="s">
        <v>29</v>
      </c>
      <c r="K3" s="138" t="s">
        <v>31</v>
      </c>
      <c r="L3" s="125" t="s">
        <v>30</v>
      </c>
      <c r="M3" s="144" t="s">
        <v>29</v>
      </c>
      <c r="N3" s="161"/>
      <c r="O3" s="149"/>
      <c r="P3" s="149"/>
      <c r="Q3" s="145"/>
    </row>
    <row r="4" spans="1:25" ht="36.75" customHeight="1" thickBot="1" x14ac:dyDescent="0.3">
      <c r="C4" s="125"/>
      <c r="D4" s="134"/>
      <c r="E4" s="134"/>
      <c r="F4" s="134"/>
      <c r="G4" s="135"/>
      <c r="H4" s="136"/>
      <c r="I4" s="125"/>
      <c r="J4" s="137"/>
      <c r="K4" s="138"/>
      <c r="L4" s="125"/>
      <c r="M4" s="144"/>
      <c r="N4" s="161"/>
      <c r="O4" s="149"/>
      <c r="P4" s="149"/>
      <c r="Q4" s="145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71">
        <v>2.44</v>
      </c>
      <c r="E5" s="71">
        <v>2.2000000000000002</v>
      </c>
      <c r="F5" s="43">
        <v>0.82</v>
      </c>
      <c r="G5" s="43">
        <f t="shared" ref="G5:G20" si="0">(IF(D5&lt;1.5,1,0))+(IF(E5&lt;1,1,0))+(IF(F5&lt;0.8,1,0))</f>
        <v>0</v>
      </c>
      <c r="H5" s="70">
        <v>414270966.12</v>
      </c>
      <c r="I5" s="70">
        <v>78393336.530000001</v>
      </c>
      <c r="J5" s="43">
        <f t="shared" ref="J5:J20" si="1">IF(I5&lt;0,1,0)+IF(H5&lt;0,1,0)</f>
        <v>0</v>
      </c>
      <c r="K5" s="45">
        <f t="shared" ref="K5:K20" si="2">SUM(I5/6)</f>
        <v>13065556.088333333</v>
      </c>
      <c r="L5" s="41">
        <f>+H5/K5</f>
        <v>31.707105562075252</v>
      </c>
      <c r="M5" s="40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2">
        <f t="shared" ref="N5:N20" si="3">SUM(G5+J5+M5)</f>
        <v>0</v>
      </c>
      <c r="O5" s="42">
        <f>'ก.พ.67'!N5</f>
        <v>0</v>
      </c>
      <c r="P5" s="55">
        <v>149914802.65000001</v>
      </c>
      <c r="Q5" s="51">
        <v>-53289233.710000001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69">
        <v>2.59</v>
      </c>
      <c r="E6" s="69">
        <v>2.46</v>
      </c>
      <c r="F6" s="69">
        <v>1.42</v>
      </c>
      <c r="G6" s="43">
        <f t="shared" si="0"/>
        <v>0</v>
      </c>
      <c r="H6" s="70">
        <v>177494242.16999999</v>
      </c>
      <c r="I6" s="70">
        <v>27450836.57</v>
      </c>
      <c r="J6" s="43">
        <f>IF(I6&lt;0,1,0)+IF(H6&lt;0,1,0)</f>
        <v>0</v>
      </c>
      <c r="K6" s="45">
        <f t="shared" si="2"/>
        <v>4575139.4283333337</v>
      </c>
      <c r="L6" s="41">
        <f>+H6/K6</f>
        <v>38.795373332405504</v>
      </c>
      <c r="M6" s="43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2">
        <f>SUM(G6+J6+M6)</f>
        <v>0</v>
      </c>
      <c r="O6" s="42">
        <f>'ก.พ.67'!N6</f>
        <v>0</v>
      </c>
      <c r="P6" s="55">
        <v>42559404</v>
      </c>
      <c r="Q6" s="46">
        <v>46622607.090000004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69">
        <v>3.48</v>
      </c>
      <c r="E7" s="69">
        <v>3.36</v>
      </c>
      <c r="F7" s="69">
        <v>2.92</v>
      </c>
      <c r="G7" s="43">
        <f t="shared" si="0"/>
        <v>0</v>
      </c>
      <c r="H7" s="70">
        <v>58120749.490000002</v>
      </c>
      <c r="I7" s="46">
        <v>110594385.13</v>
      </c>
      <c r="J7" s="43">
        <f t="shared" si="1"/>
        <v>0</v>
      </c>
      <c r="K7" s="45">
        <f t="shared" si="2"/>
        <v>18432397.521666665</v>
      </c>
      <c r="L7" s="41">
        <f t="shared" ref="L7:L20" si="5">+H7/K7</f>
        <v>3.1531844634796431</v>
      </c>
      <c r="M7" s="40">
        <f t="shared" si="4"/>
        <v>0</v>
      </c>
      <c r="N7" s="42">
        <f t="shared" si="3"/>
        <v>0</v>
      </c>
      <c r="O7" s="42">
        <f>'ก.พ.67'!N7</f>
        <v>0</v>
      </c>
      <c r="P7" s="55">
        <v>92702898.640000001</v>
      </c>
      <c r="Q7" s="46">
        <v>44992820.640000001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69">
        <v>15.63</v>
      </c>
      <c r="E8" s="69">
        <v>15.31</v>
      </c>
      <c r="F8" s="69">
        <v>14.65</v>
      </c>
      <c r="G8" s="43">
        <f t="shared" si="0"/>
        <v>0</v>
      </c>
      <c r="H8" s="70">
        <v>135278203.88999999</v>
      </c>
      <c r="I8" s="51">
        <v>-11759407.640000001</v>
      </c>
      <c r="J8" s="39">
        <f t="shared" si="1"/>
        <v>1</v>
      </c>
      <c r="K8" s="48">
        <f t="shared" si="2"/>
        <v>-1959901.2733333334</v>
      </c>
      <c r="L8" s="41">
        <f t="shared" si="5"/>
        <v>-69.022968519186392</v>
      </c>
      <c r="M8" s="40">
        <f t="shared" si="4"/>
        <v>0</v>
      </c>
      <c r="N8" s="42">
        <f t="shared" si="3"/>
        <v>1</v>
      </c>
      <c r="O8" s="42">
        <f>'ก.พ.67'!N8</f>
        <v>1</v>
      </c>
      <c r="P8" s="51">
        <v>-7177949.75</v>
      </c>
      <c r="Q8" s="46">
        <v>126213557.47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69">
        <v>3.05</v>
      </c>
      <c r="E9" s="69">
        <v>2.71</v>
      </c>
      <c r="F9" s="69">
        <v>2.0499999999999998</v>
      </c>
      <c r="G9" s="43">
        <f t="shared" si="0"/>
        <v>0</v>
      </c>
      <c r="H9" s="70">
        <v>27645421.140000001</v>
      </c>
      <c r="I9" s="51">
        <v>-6455458.8899999997</v>
      </c>
      <c r="J9" s="39">
        <f t="shared" si="1"/>
        <v>1</v>
      </c>
      <c r="K9" s="48">
        <f t="shared" si="2"/>
        <v>-1075909.8149999999</v>
      </c>
      <c r="L9" s="41">
        <f t="shared" si="5"/>
        <v>-25.694924197712613</v>
      </c>
      <c r="M9" s="40">
        <f t="shared" si="4"/>
        <v>0</v>
      </c>
      <c r="N9" s="42">
        <f t="shared" si="3"/>
        <v>1</v>
      </c>
      <c r="O9" s="42">
        <f>'ก.พ.67'!N9</f>
        <v>1</v>
      </c>
      <c r="P9" s="51">
        <v>-2119704.86</v>
      </c>
      <c r="Q9" s="46">
        <v>14153833.689999999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39">
        <v>1.1399999999999999</v>
      </c>
      <c r="E10" s="71">
        <v>1.03</v>
      </c>
      <c r="F10" s="69">
        <v>0.82</v>
      </c>
      <c r="G10" s="39">
        <f t="shared" si="0"/>
        <v>1</v>
      </c>
      <c r="H10" s="70">
        <v>2104478.16</v>
      </c>
      <c r="I10" s="51">
        <v>-7488219.4699999997</v>
      </c>
      <c r="J10" s="39">
        <f t="shared" si="1"/>
        <v>1</v>
      </c>
      <c r="K10" s="48">
        <f t="shared" si="2"/>
        <v>-1248036.5783333334</v>
      </c>
      <c r="L10" s="41">
        <f t="shared" si="5"/>
        <v>-1.6862311542265735</v>
      </c>
      <c r="M10" s="39">
        <f t="shared" si="4"/>
        <v>2</v>
      </c>
      <c r="N10" s="42">
        <f t="shared" si="3"/>
        <v>4</v>
      </c>
      <c r="O10" s="42">
        <f>'ก.พ.67'!N10</f>
        <v>4</v>
      </c>
      <c r="P10" s="51">
        <v>-5974355.04</v>
      </c>
      <c r="Q10" s="51">
        <v>-2841100.2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69">
        <v>3.92</v>
      </c>
      <c r="E11" s="69">
        <v>3.73</v>
      </c>
      <c r="F11" s="71">
        <v>3.29</v>
      </c>
      <c r="G11" s="43">
        <f t="shared" si="0"/>
        <v>0</v>
      </c>
      <c r="H11" s="70">
        <v>216242620.21000001</v>
      </c>
      <c r="I11" s="51">
        <v>-31614491.109999999</v>
      </c>
      <c r="J11" s="39">
        <f t="shared" si="1"/>
        <v>1</v>
      </c>
      <c r="K11" s="48">
        <f t="shared" si="2"/>
        <v>-5269081.8516666666</v>
      </c>
      <c r="L11" s="41">
        <f t="shared" si="5"/>
        <v>-41.039905299933835</v>
      </c>
      <c r="M11" s="40">
        <f t="shared" si="4"/>
        <v>0</v>
      </c>
      <c r="N11" s="42">
        <f t="shared" si="3"/>
        <v>1</v>
      </c>
      <c r="O11" s="42">
        <f>'ก.พ.67'!N11</f>
        <v>1</v>
      </c>
      <c r="P11" s="51">
        <v>-18667248.149999999</v>
      </c>
      <c r="Q11" s="46">
        <v>167908431.65000001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71">
        <v>1.9</v>
      </c>
      <c r="E12" s="71">
        <v>1.59</v>
      </c>
      <c r="F12" s="69">
        <v>1.1200000000000001</v>
      </c>
      <c r="G12" s="43">
        <f t="shared" si="0"/>
        <v>0</v>
      </c>
      <c r="H12" s="70">
        <v>14921840.26</v>
      </c>
      <c r="I12" s="51">
        <v>-12825869.539999999</v>
      </c>
      <c r="J12" s="39">
        <f t="shared" si="1"/>
        <v>1</v>
      </c>
      <c r="K12" s="48">
        <f t="shared" si="2"/>
        <v>-2137644.9233333333</v>
      </c>
      <c r="L12" s="41">
        <f t="shared" si="5"/>
        <v>-6.9805046184806274</v>
      </c>
      <c r="M12" s="40">
        <f t="shared" si="4"/>
        <v>0</v>
      </c>
      <c r="N12" s="42">
        <f t="shared" si="3"/>
        <v>1</v>
      </c>
      <c r="O12" s="42">
        <f>'ก.พ.67'!N12</f>
        <v>1</v>
      </c>
      <c r="P12" s="51">
        <v>-9399207.1999999993</v>
      </c>
      <c r="Q12" s="46">
        <v>1928287.86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69">
        <v>4.9800000000000004</v>
      </c>
      <c r="E13" s="69">
        <v>4.75</v>
      </c>
      <c r="F13" s="69">
        <v>4.3499999999999996</v>
      </c>
      <c r="G13" s="43">
        <f t="shared" si="0"/>
        <v>0</v>
      </c>
      <c r="H13" s="70">
        <v>56797320.07</v>
      </c>
      <c r="I13" s="51">
        <v>-10742452.65</v>
      </c>
      <c r="J13" s="39">
        <f t="shared" si="1"/>
        <v>1</v>
      </c>
      <c r="K13" s="48">
        <f t="shared" si="2"/>
        <v>-1790408.7750000001</v>
      </c>
      <c r="L13" s="41">
        <f t="shared" si="5"/>
        <v>-31.723101932406468</v>
      </c>
      <c r="M13" s="40">
        <f t="shared" si="4"/>
        <v>0</v>
      </c>
      <c r="N13" s="42">
        <f t="shared" si="3"/>
        <v>1</v>
      </c>
      <c r="O13" s="42">
        <f>'ก.พ.67'!N13</f>
        <v>1</v>
      </c>
      <c r="P13" s="51">
        <v>-7224026.1799999997</v>
      </c>
      <c r="Q13" s="46">
        <v>47773202.009999998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69">
        <v>4.79</v>
      </c>
      <c r="E14" s="69">
        <v>4.53</v>
      </c>
      <c r="F14" s="71">
        <v>3.74</v>
      </c>
      <c r="G14" s="43">
        <f t="shared" si="0"/>
        <v>0</v>
      </c>
      <c r="H14" s="70">
        <v>53485209.109999999</v>
      </c>
      <c r="I14" s="51">
        <v>-2274215.7799999998</v>
      </c>
      <c r="J14" s="39">
        <f t="shared" si="1"/>
        <v>1</v>
      </c>
      <c r="K14" s="48">
        <f t="shared" si="2"/>
        <v>-379035.96333333332</v>
      </c>
      <c r="L14" s="41">
        <f t="shared" si="5"/>
        <v>-141.1085339756107</v>
      </c>
      <c r="M14" s="40">
        <f t="shared" si="4"/>
        <v>0</v>
      </c>
      <c r="N14" s="42">
        <f t="shared" si="3"/>
        <v>1</v>
      </c>
      <c r="O14" s="42">
        <f>'ก.พ.67'!N14</f>
        <v>1</v>
      </c>
      <c r="P14" s="51">
        <v>-23912.560000000001</v>
      </c>
      <c r="Q14" s="46">
        <v>38588039.130000003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69">
        <v>5.24</v>
      </c>
      <c r="E15" s="69">
        <v>4.83</v>
      </c>
      <c r="F15" s="71">
        <v>4.1500000000000004</v>
      </c>
      <c r="G15" s="43">
        <f t="shared" si="0"/>
        <v>0</v>
      </c>
      <c r="H15" s="70">
        <v>50041155.829999998</v>
      </c>
      <c r="I15" s="51">
        <v>-8345900.2199999997</v>
      </c>
      <c r="J15" s="39">
        <f t="shared" si="1"/>
        <v>1</v>
      </c>
      <c r="K15" s="48">
        <f t="shared" si="2"/>
        <v>-1390983.3699999999</v>
      </c>
      <c r="L15" s="41">
        <f t="shared" si="5"/>
        <v>-35.975380374245596</v>
      </c>
      <c r="M15" s="40">
        <f t="shared" si="4"/>
        <v>0</v>
      </c>
      <c r="N15" s="42">
        <f t="shared" si="3"/>
        <v>1</v>
      </c>
      <c r="O15" s="42">
        <f>'ก.พ.67'!N15</f>
        <v>1</v>
      </c>
      <c r="P15" s="51">
        <v>-4515531.0999999996</v>
      </c>
      <c r="Q15" s="46">
        <v>37139107.609999999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69">
        <v>5.33</v>
      </c>
      <c r="E16" s="69">
        <v>4.9800000000000004</v>
      </c>
      <c r="F16" s="69">
        <v>4.1500000000000004</v>
      </c>
      <c r="G16" s="43">
        <f t="shared" si="0"/>
        <v>0</v>
      </c>
      <c r="H16" s="70">
        <v>104502004.54000001</v>
      </c>
      <c r="I16" s="51">
        <v>-13121541.77</v>
      </c>
      <c r="J16" s="39">
        <f t="shared" si="1"/>
        <v>1</v>
      </c>
      <c r="K16" s="48">
        <f t="shared" si="2"/>
        <v>-2186923.6283333334</v>
      </c>
      <c r="L16" s="41">
        <f t="shared" si="5"/>
        <v>-47.784935507620609</v>
      </c>
      <c r="M16" s="40">
        <f t="shared" si="4"/>
        <v>0</v>
      </c>
      <c r="N16" s="42">
        <f t="shared" si="3"/>
        <v>1</v>
      </c>
      <c r="O16" s="42">
        <f>'ก.พ.67'!N16</f>
        <v>1</v>
      </c>
      <c r="P16" s="55">
        <v>146740.71</v>
      </c>
      <c r="Q16" s="46">
        <v>76025826.810000002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71">
        <v>2.2599999999999998</v>
      </c>
      <c r="E17" s="69">
        <v>2.0499999999999998</v>
      </c>
      <c r="F17" s="69">
        <v>1.81</v>
      </c>
      <c r="G17" s="43">
        <f t="shared" si="0"/>
        <v>0</v>
      </c>
      <c r="H17" s="70">
        <v>11519406.380000001</v>
      </c>
      <c r="I17" s="51">
        <v>-7433044.6399999997</v>
      </c>
      <c r="J17" s="39">
        <f t="shared" si="1"/>
        <v>1</v>
      </c>
      <c r="K17" s="48">
        <f t="shared" si="2"/>
        <v>-1238840.7733333332</v>
      </c>
      <c r="L17" s="41">
        <f t="shared" si="5"/>
        <v>-9.2985366868454609</v>
      </c>
      <c r="M17" s="40">
        <f t="shared" si="4"/>
        <v>0</v>
      </c>
      <c r="N17" s="42">
        <f t="shared" si="3"/>
        <v>1</v>
      </c>
      <c r="O17" s="42">
        <f>'ก.พ.67'!N17</f>
        <v>1</v>
      </c>
      <c r="P17" s="51">
        <v>-5713746.3799999999</v>
      </c>
      <c r="Q17" s="46">
        <v>7468720.2199999997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71">
        <v>10</v>
      </c>
      <c r="E18" s="69">
        <v>9.8699999999999992</v>
      </c>
      <c r="F18" s="69">
        <v>7.81</v>
      </c>
      <c r="G18" s="43">
        <f t="shared" si="0"/>
        <v>0</v>
      </c>
      <c r="H18" s="70">
        <v>172985979.22</v>
      </c>
      <c r="I18" s="51">
        <v>-8827189.75</v>
      </c>
      <c r="J18" s="39">
        <f t="shared" si="1"/>
        <v>1</v>
      </c>
      <c r="K18" s="48">
        <f t="shared" si="2"/>
        <v>-1471198.2916666667</v>
      </c>
      <c r="L18" s="41">
        <f t="shared" si="5"/>
        <v>-117.58168847792129</v>
      </c>
      <c r="M18" s="40">
        <f t="shared" si="4"/>
        <v>0</v>
      </c>
      <c r="N18" s="42">
        <f t="shared" si="3"/>
        <v>1</v>
      </c>
      <c r="O18" s="42">
        <f>'ก.พ.67'!N18</f>
        <v>1</v>
      </c>
      <c r="P18" s="51">
        <v>-5088004.5</v>
      </c>
      <c r="Q18" s="46">
        <v>130986395.93000001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39">
        <v>1.32</v>
      </c>
      <c r="E19" s="43">
        <v>1.07</v>
      </c>
      <c r="F19" s="39">
        <v>0.66</v>
      </c>
      <c r="G19" s="39">
        <f t="shared" si="0"/>
        <v>2</v>
      </c>
      <c r="H19" s="46">
        <v>3144700.46</v>
      </c>
      <c r="I19" s="78">
        <v>-2056554.24</v>
      </c>
      <c r="J19" s="39">
        <f t="shared" si="1"/>
        <v>1</v>
      </c>
      <c r="K19" s="48">
        <f t="shared" si="2"/>
        <v>-342759.04</v>
      </c>
      <c r="L19" s="41">
        <f t="shared" si="5"/>
        <v>-9.174668186723828</v>
      </c>
      <c r="M19" s="40">
        <f>IF(AND(I19&lt;0,H19&lt;0),2,IF(AND(I19&gt;0,H19&gt;0),0,IF(AND(H19&lt;0,I19&gt;0),IF(ABS((H19/(I19/6)))&lt;3,0,IF(ABS((H19/(I19/6)))&gt;6,2,1)),IF(AND(H19&gt;0,I19&lt;0),IF(ABS((H19/(I19/6)))&lt;3,2,IF(ABS((H19/(I19/6)))&gt;6,0,1))))))</f>
        <v>0</v>
      </c>
      <c r="N19" s="42">
        <f t="shared" si="3"/>
        <v>3</v>
      </c>
      <c r="O19" s="42">
        <f>'ก.พ.67'!N19</f>
        <v>3</v>
      </c>
      <c r="P19" s="55">
        <v>5122.5</v>
      </c>
      <c r="Q19" s="51">
        <v>-3378249.93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116">
        <v>1.2</v>
      </c>
      <c r="E20" s="69">
        <v>1.06</v>
      </c>
      <c r="F20" s="39">
        <v>0.52</v>
      </c>
      <c r="G20" s="39">
        <f t="shared" si="0"/>
        <v>2</v>
      </c>
      <c r="H20" s="70">
        <v>1746105.95</v>
      </c>
      <c r="I20" s="51">
        <v>-5088109.1500000004</v>
      </c>
      <c r="J20" s="39">
        <f t="shared" si="1"/>
        <v>1</v>
      </c>
      <c r="K20" s="48">
        <f t="shared" si="2"/>
        <v>-848018.19166666677</v>
      </c>
      <c r="L20" s="41">
        <f t="shared" si="5"/>
        <v>-2.0590430336974981</v>
      </c>
      <c r="M20" s="39">
        <f t="shared" si="4"/>
        <v>2</v>
      </c>
      <c r="N20" s="42">
        <f t="shared" si="3"/>
        <v>5</v>
      </c>
      <c r="O20" s="42">
        <f>'ก.พ.67'!N20</f>
        <v>5</v>
      </c>
      <c r="P20" s="51">
        <v>-3224467.75</v>
      </c>
      <c r="Q20" s="51">
        <v>-4144765</v>
      </c>
      <c r="S20" s="8"/>
      <c r="V20" s="9"/>
      <c r="W20" s="10"/>
      <c r="X20" s="10"/>
      <c r="Y20" s="9"/>
    </row>
    <row r="21" spans="1:25" ht="30.75" customHeight="1" thickBot="1" x14ac:dyDescent="0.45">
      <c r="C21" s="11" t="s">
        <v>83</v>
      </c>
      <c r="D21" s="11"/>
      <c r="E21" s="11"/>
      <c r="F21" s="11"/>
      <c r="G21" s="11"/>
      <c r="H21" s="82">
        <f>SUM(H5:H20)</f>
        <v>1500300403</v>
      </c>
      <c r="I21" s="82">
        <f>SUM(I5:I20)</f>
        <v>88406103.38000001</v>
      </c>
      <c r="J21" s="11"/>
      <c r="K21" s="11"/>
      <c r="L21" s="12"/>
      <c r="M21" s="37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82">
        <f>SUM(P5:P20)</f>
        <v>216200815.03</v>
      </c>
      <c r="Q21" s="82">
        <f>SUM(Q5:Q20)</f>
        <v>676147481.2700001</v>
      </c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40" t="s">
        <v>5</v>
      </c>
      <c r="M23" s="140"/>
      <c r="N23" s="140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40"/>
      <c r="M24" s="140"/>
      <c r="N24" s="140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40" t="s">
        <v>5</v>
      </c>
      <c r="M25" s="140"/>
      <c r="N25" s="140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40"/>
      <c r="M26" s="140"/>
      <c r="N26" s="140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41" t="s">
        <v>5</v>
      </c>
      <c r="L27" s="141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40" t="s">
        <v>5</v>
      </c>
      <c r="M30" s="140"/>
      <c r="N30" s="140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40"/>
      <c r="M31" s="140"/>
      <c r="N31" s="140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N2" sqref="N2:N4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4" t="s">
        <v>102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P1" s="54" t="s">
        <v>53</v>
      </c>
      <c r="Q1" s="38">
        <v>45427</v>
      </c>
    </row>
    <row r="2" spans="1:25" ht="54.75" customHeight="1" thickBot="1" x14ac:dyDescent="0.3">
      <c r="C2" s="125" t="s">
        <v>41</v>
      </c>
      <c r="D2" s="126" t="s">
        <v>40</v>
      </c>
      <c r="E2" s="126"/>
      <c r="F2" s="126"/>
      <c r="G2" s="126"/>
      <c r="H2" s="127" t="s">
        <v>39</v>
      </c>
      <c r="I2" s="127"/>
      <c r="J2" s="127"/>
      <c r="K2" s="128" t="s">
        <v>38</v>
      </c>
      <c r="L2" s="128"/>
      <c r="M2" s="128"/>
      <c r="N2" s="162" t="s">
        <v>103</v>
      </c>
      <c r="O2" s="149" t="s">
        <v>104</v>
      </c>
      <c r="P2" s="149" t="s">
        <v>56</v>
      </c>
      <c r="Q2" s="145" t="s">
        <v>57</v>
      </c>
    </row>
    <row r="3" spans="1:25" ht="38.25" customHeight="1" thickBot="1" x14ac:dyDescent="0.3">
      <c r="C3" s="125"/>
      <c r="D3" s="134" t="s">
        <v>36</v>
      </c>
      <c r="E3" s="134" t="s">
        <v>35</v>
      </c>
      <c r="F3" s="134" t="s">
        <v>34</v>
      </c>
      <c r="G3" s="135" t="s">
        <v>29</v>
      </c>
      <c r="H3" s="136" t="s">
        <v>33</v>
      </c>
      <c r="I3" s="125" t="s">
        <v>32</v>
      </c>
      <c r="J3" s="137" t="s">
        <v>29</v>
      </c>
      <c r="K3" s="138" t="s">
        <v>31</v>
      </c>
      <c r="L3" s="125" t="s">
        <v>30</v>
      </c>
      <c r="M3" s="144" t="s">
        <v>29</v>
      </c>
      <c r="N3" s="162"/>
      <c r="O3" s="149"/>
      <c r="P3" s="149"/>
      <c r="Q3" s="145"/>
    </row>
    <row r="4" spans="1:25" ht="36.75" customHeight="1" thickBot="1" x14ac:dyDescent="0.3">
      <c r="C4" s="125"/>
      <c r="D4" s="134"/>
      <c r="E4" s="134"/>
      <c r="F4" s="134"/>
      <c r="G4" s="135"/>
      <c r="H4" s="136"/>
      <c r="I4" s="125"/>
      <c r="J4" s="137"/>
      <c r="K4" s="138"/>
      <c r="L4" s="125"/>
      <c r="M4" s="144"/>
      <c r="N4" s="162"/>
      <c r="O4" s="149"/>
      <c r="P4" s="149"/>
      <c r="Q4" s="145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69">
        <v>2.38</v>
      </c>
      <c r="E5" s="69">
        <v>2.17</v>
      </c>
      <c r="F5" s="116">
        <v>0.78</v>
      </c>
      <c r="G5" s="39">
        <f t="shared" ref="G5:G20" si="0">(IF(D5&lt;1.5,1,0))+(IF(E5&lt;1,1,0))+(IF(F5&lt;0.8,1,0))</f>
        <v>1</v>
      </c>
      <c r="H5" s="70">
        <v>406297728.93000001</v>
      </c>
      <c r="I5" s="70">
        <v>64582019.399999999</v>
      </c>
      <c r="J5" s="43">
        <f t="shared" ref="J5:J20" si="1">IF(I5&lt;0,1,0)+IF(H5&lt;0,1,0)</f>
        <v>0</v>
      </c>
      <c r="K5" s="45">
        <f>SUM(I5/7)</f>
        <v>9226002.771428572</v>
      </c>
      <c r="L5" s="41">
        <f>+H5/K5</f>
        <v>44.038327214494004</v>
      </c>
      <c r="M5" s="43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2">
        <f t="shared" ref="N5:N20" si="2">SUM(G5+J5+M5)</f>
        <v>1</v>
      </c>
      <c r="O5" s="42">
        <f>'มี.ค.67'!N5</f>
        <v>0</v>
      </c>
      <c r="P5" s="55">
        <v>145832544.19999999</v>
      </c>
      <c r="Q5" s="51">
        <v>-66016434.200000003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71">
        <v>2.6</v>
      </c>
      <c r="E6" s="71">
        <v>2.46</v>
      </c>
      <c r="F6" s="69">
        <v>1.35</v>
      </c>
      <c r="G6" s="43">
        <f t="shared" si="0"/>
        <v>0</v>
      </c>
      <c r="H6" s="70">
        <v>180833028.53999999</v>
      </c>
      <c r="I6" s="70">
        <v>27374463.719999999</v>
      </c>
      <c r="J6" s="43">
        <f>IF(I6&lt;0,1,0)+IF(H6&lt;0,1,0)</f>
        <v>0</v>
      </c>
      <c r="K6" s="45">
        <f>SUM(I6/7)</f>
        <v>3910637.674285714</v>
      </c>
      <c r="L6" s="41">
        <f>+H6/K6</f>
        <v>46.241314998078799</v>
      </c>
      <c r="M6" s="43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2">
        <f>SUM(G6+J6+M6)</f>
        <v>0</v>
      </c>
      <c r="O6" s="42">
        <f>'มี.ค.67'!N6</f>
        <v>0</v>
      </c>
      <c r="P6" s="55">
        <v>46924722.149999999</v>
      </c>
      <c r="Q6" s="70">
        <v>39882662.270000003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69">
        <v>3.41</v>
      </c>
      <c r="E7" s="71">
        <v>3.3</v>
      </c>
      <c r="F7" s="69">
        <v>2.89</v>
      </c>
      <c r="G7" s="43">
        <f t="shared" si="0"/>
        <v>0</v>
      </c>
      <c r="H7" s="70">
        <v>55491267.969999999</v>
      </c>
      <c r="I7" s="46">
        <v>110011160.19</v>
      </c>
      <c r="J7" s="43">
        <f t="shared" si="1"/>
        <v>0</v>
      </c>
      <c r="K7" s="45">
        <f>SUM(I7/7)</f>
        <v>15715880.027142856</v>
      </c>
      <c r="L7" s="120">
        <f t="shared" ref="L7:L20" si="4">+H7/K7</f>
        <v>3.5309042747947408</v>
      </c>
      <c r="M7" s="43">
        <f t="shared" si="3"/>
        <v>0</v>
      </c>
      <c r="N7" s="87">
        <f t="shared" si="2"/>
        <v>0</v>
      </c>
      <c r="O7" s="42">
        <f>'มี.ค.67'!N7</f>
        <v>0</v>
      </c>
      <c r="P7" s="55">
        <v>93332227.120000005</v>
      </c>
      <c r="Q7" s="70">
        <v>43706058.469999999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69">
        <v>14.42</v>
      </c>
      <c r="E8" s="69">
        <v>14.15</v>
      </c>
      <c r="F8" s="69">
        <v>13.59</v>
      </c>
      <c r="G8" s="43">
        <f t="shared" si="0"/>
        <v>0</v>
      </c>
      <c r="H8" s="70">
        <v>132979693.73999999</v>
      </c>
      <c r="I8" s="51">
        <v>-14783625.85</v>
      </c>
      <c r="J8" s="39">
        <f t="shared" si="1"/>
        <v>1</v>
      </c>
      <c r="K8" s="48">
        <f t="shared" ref="K8:K19" si="5">SUM(I8/7)</f>
        <v>-2111946.5499999998</v>
      </c>
      <c r="L8" s="41">
        <f t="shared" si="4"/>
        <v>-62.965463657212354</v>
      </c>
      <c r="M8" s="43">
        <f t="shared" si="3"/>
        <v>0</v>
      </c>
      <c r="N8" s="84">
        <f t="shared" si="2"/>
        <v>1</v>
      </c>
      <c r="O8" s="42">
        <f>'มี.ค.67'!N8</f>
        <v>1</v>
      </c>
      <c r="P8" s="51">
        <v>-9477319.9000000004</v>
      </c>
      <c r="Q8" s="70">
        <v>124729571.11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69">
        <v>2.94</v>
      </c>
      <c r="E9" s="69">
        <v>2.63</v>
      </c>
      <c r="F9" s="69">
        <v>1.82</v>
      </c>
      <c r="G9" s="43">
        <f t="shared" si="0"/>
        <v>0</v>
      </c>
      <c r="H9" s="70">
        <v>27660806.010000002</v>
      </c>
      <c r="I9" s="51">
        <v>-7163857.6699999999</v>
      </c>
      <c r="J9" s="39">
        <f t="shared" si="1"/>
        <v>1</v>
      </c>
      <c r="K9" s="48">
        <f t="shared" si="5"/>
        <v>-1023408.2385714286</v>
      </c>
      <c r="L9" s="41">
        <f t="shared" si="4"/>
        <v>-27.028125207015734</v>
      </c>
      <c r="M9" s="43">
        <f t="shared" si="3"/>
        <v>0</v>
      </c>
      <c r="N9" s="84">
        <f t="shared" si="2"/>
        <v>1</v>
      </c>
      <c r="O9" s="42">
        <f>'มี.ค.67'!N9</f>
        <v>1</v>
      </c>
      <c r="P9" s="51">
        <v>-2104319.9900000002</v>
      </c>
      <c r="Q9" s="70">
        <v>11631511.49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39">
        <v>1.02</v>
      </c>
      <c r="E10" s="116">
        <v>0.92</v>
      </c>
      <c r="F10" s="39">
        <v>0.73</v>
      </c>
      <c r="G10" s="39">
        <f t="shared" si="0"/>
        <v>3</v>
      </c>
      <c r="H10" s="70">
        <v>287180.27</v>
      </c>
      <c r="I10" s="51">
        <v>-9549519.7300000004</v>
      </c>
      <c r="J10" s="39">
        <f t="shared" si="1"/>
        <v>1</v>
      </c>
      <c r="K10" s="48">
        <f t="shared" si="5"/>
        <v>-1364217.1042857144</v>
      </c>
      <c r="L10" s="41">
        <f t="shared" si="4"/>
        <v>-0.21050921374451151</v>
      </c>
      <c r="M10" s="39">
        <f t="shared" si="3"/>
        <v>2</v>
      </c>
      <c r="N10" s="121">
        <f t="shared" si="2"/>
        <v>6</v>
      </c>
      <c r="O10" s="42">
        <f>'มี.ค.67'!N10</f>
        <v>4</v>
      </c>
      <c r="P10" s="51">
        <v>-7791652.9299999997</v>
      </c>
      <c r="Q10" s="51">
        <v>-4397019.9000000004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71">
        <v>3.76</v>
      </c>
      <c r="E11" s="69">
        <v>3.57</v>
      </c>
      <c r="F11" s="69">
        <v>3.18</v>
      </c>
      <c r="G11" s="43">
        <f t="shared" si="0"/>
        <v>0</v>
      </c>
      <c r="H11" s="70">
        <v>213595634.22999999</v>
      </c>
      <c r="I11" s="51">
        <v>-35821415.259999998</v>
      </c>
      <c r="J11" s="39">
        <f t="shared" si="1"/>
        <v>1</v>
      </c>
      <c r="K11" s="48">
        <f t="shared" si="5"/>
        <v>-5117345.037142857</v>
      </c>
      <c r="L11" s="41">
        <f t="shared" si="4"/>
        <v>-41.739541242514271</v>
      </c>
      <c r="M11" s="43">
        <f t="shared" si="3"/>
        <v>0</v>
      </c>
      <c r="N11" s="84">
        <f t="shared" si="2"/>
        <v>1</v>
      </c>
      <c r="O11" s="42">
        <f>'มี.ค.67'!N11</f>
        <v>1</v>
      </c>
      <c r="P11" s="51">
        <v>-20892868.27</v>
      </c>
      <c r="Q11" s="70">
        <v>166130392.72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71">
        <v>1.7</v>
      </c>
      <c r="E12" s="69">
        <v>1.43</v>
      </c>
      <c r="F12" s="69">
        <v>0.94</v>
      </c>
      <c r="G12" s="43">
        <f t="shared" si="0"/>
        <v>0</v>
      </c>
      <c r="H12" s="70">
        <v>13359864.619999999</v>
      </c>
      <c r="I12" s="51">
        <v>-13249362.43</v>
      </c>
      <c r="J12" s="39">
        <f t="shared" si="1"/>
        <v>1</v>
      </c>
      <c r="K12" s="48">
        <f t="shared" si="5"/>
        <v>-1892766.0614285714</v>
      </c>
      <c r="L12" s="41">
        <f t="shared" si="4"/>
        <v>-7.0583813246929195</v>
      </c>
      <c r="M12" s="43">
        <f t="shared" si="3"/>
        <v>0</v>
      </c>
      <c r="N12" s="84">
        <f t="shared" si="2"/>
        <v>1</v>
      </c>
      <c r="O12" s="42">
        <f>'มี.ค.67'!N12</f>
        <v>1</v>
      </c>
      <c r="P12" s="51">
        <v>-9209681.8599999994</v>
      </c>
      <c r="Q12" s="51">
        <v>-1210726.43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69">
        <v>5.27</v>
      </c>
      <c r="E13" s="69">
        <v>5.0199999999999996</v>
      </c>
      <c r="F13" s="69">
        <v>4.54</v>
      </c>
      <c r="G13" s="43">
        <f t="shared" si="0"/>
        <v>0</v>
      </c>
      <c r="H13" s="70">
        <v>53062816.299999997</v>
      </c>
      <c r="I13" s="51">
        <v>-14835317.15</v>
      </c>
      <c r="J13" s="39">
        <f t="shared" si="1"/>
        <v>1</v>
      </c>
      <c r="K13" s="48">
        <f t="shared" si="5"/>
        <v>-2119331.0214285715</v>
      </c>
      <c r="L13" s="41">
        <f t="shared" si="4"/>
        <v>-25.037531071588852</v>
      </c>
      <c r="M13" s="43">
        <f t="shared" si="3"/>
        <v>0</v>
      </c>
      <c r="N13" s="84">
        <f t="shared" si="2"/>
        <v>1</v>
      </c>
      <c r="O13" s="42">
        <f>'มี.ค.67'!N13</f>
        <v>1</v>
      </c>
      <c r="P13" s="51">
        <v>-10741978.869999999</v>
      </c>
      <c r="Q13" s="70">
        <v>43963278.25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69">
        <v>4.01</v>
      </c>
      <c r="E14" s="71">
        <v>3.76</v>
      </c>
      <c r="F14" s="69">
        <v>3.02</v>
      </c>
      <c r="G14" s="43">
        <f t="shared" si="0"/>
        <v>0</v>
      </c>
      <c r="H14" s="70">
        <v>48973215.560000002</v>
      </c>
      <c r="I14" s="51">
        <v>-6891213.5</v>
      </c>
      <c r="J14" s="39">
        <f t="shared" si="1"/>
        <v>1</v>
      </c>
      <c r="K14" s="48">
        <f t="shared" si="5"/>
        <v>-984459.07142857148</v>
      </c>
      <c r="L14" s="41">
        <f t="shared" si="4"/>
        <v>-49.746319558957211</v>
      </c>
      <c r="M14" s="43">
        <f t="shared" si="3"/>
        <v>0</v>
      </c>
      <c r="N14" s="84">
        <f t="shared" si="2"/>
        <v>1</v>
      </c>
      <c r="O14" s="42">
        <f>'มี.ค.67'!N14</f>
        <v>1</v>
      </c>
      <c r="P14" s="51">
        <v>-4252852.51</v>
      </c>
      <c r="Q14" s="70">
        <v>32935638.219999999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69">
        <v>5.22</v>
      </c>
      <c r="E15" s="69">
        <v>4.7699999999999996</v>
      </c>
      <c r="F15" s="69">
        <v>4.03</v>
      </c>
      <c r="G15" s="43">
        <f t="shared" si="0"/>
        <v>0</v>
      </c>
      <c r="H15" s="70">
        <v>46194400.399999999</v>
      </c>
      <c r="I15" s="51">
        <v>-12807426.9</v>
      </c>
      <c r="J15" s="39">
        <f t="shared" si="1"/>
        <v>1</v>
      </c>
      <c r="K15" s="48">
        <f t="shared" si="5"/>
        <v>-1829632.4142857143</v>
      </c>
      <c r="L15" s="41">
        <f t="shared" si="4"/>
        <v>-25.247913208858524</v>
      </c>
      <c r="M15" s="43">
        <f t="shared" si="3"/>
        <v>0</v>
      </c>
      <c r="N15" s="84">
        <f t="shared" si="2"/>
        <v>1</v>
      </c>
      <c r="O15" s="42">
        <f>'มี.ค.67'!N15</f>
        <v>1</v>
      </c>
      <c r="P15" s="51">
        <v>-8345587.5300000003</v>
      </c>
      <c r="Q15" s="70">
        <v>33219349.91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69">
        <v>5.31</v>
      </c>
      <c r="E16" s="69">
        <v>4.92</v>
      </c>
      <c r="F16" s="69">
        <v>4.0599999999999996</v>
      </c>
      <c r="G16" s="43">
        <f t="shared" si="0"/>
        <v>0</v>
      </c>
      <c r="H16" s="70">
        <v>98161044.689999998</v>
      </c>
      <c r="I16" s="51">
        <v>-20831227.68</v>
      </c>
      <c r="J16" s="39">
        <f t="shared" si="1"/>
        <v>1</v>
      </c>
      <c r="K16" s="48">
        <f t="shared" si="5"/>
        <v>-2975889.6685714284</v>
      </c>
      <c r="L16" s="41">
        <f t="shared" si="4"/>
        <v>-32.985444899616212</v>
      </c>
      <c r="M16" s="43">
        <f t="shared" si="3"/>
        <v>0</v>
      </c>
      <c r="N16" s="84">
        <f t="shared" si="2"/>
        <v>1</v>
      </c>
      <c r="O16" s="42">
        <f>'มี.ค.67'!N16</f>
        <v>1</v>
      </c>
      <c r="P16" s="51">
        <v>-5256122.8600000003</v>
      </c>
      <c r="Q16" s="70">
        <v>69711558.620000005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71">
        <v>2.12</v>
      </c>
      <c r="E17" s="69">
        <v>1.92</v>
      </c>
      <c r="F17" s="69">
        <v>1.67</v>
      </c>
      <c r="G17" s="43">
        <f t="shared" si="0"/>
        <v>0</v>
      </c>
      <c r="H17" s="70">
        <v>9627173.5800000001</v>
      </c>
      <c r="I17" s="51">
        <v>-9264059.3499999996</v>
      </c>
      <c r="J17" s="39">
        <f t="shared" si="1"/>
        <v>1</v>
      </c>
      <c r="K17" s="48">
        <f t="shared" si="5"/>
        <v>-1323437.05</v>
      </c>
      <c r="L17" s="41">
        <f t="shared" si="4"/>
        <v>-7.2743721206837906</v>
      </c>
      <c r="M17" s="43">
        <f t="shared" si="3"/>
        <v>0</v>
      </c>
      <c r="N17" s="84">
        <f t="shared" si="2"/>
        <v>1</v>
      </c>
      <c r="O17" s="42">
        <f>'มี.ค.67'!N17</f>
        <v>1</v>
      </c>
      <c r="P17" s="51">
        <v>-7115979.1799999997</v>
      </c>
      <c r="Q17" s="70">
        <v>5761761.1699999999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69">
        <v>9.58</v>
      </c>
      <c r="E18" s="69">
        <v>9.4499999999999993</v>
      </c>
      <c r="F18" s="69">
        <v>7.39</v>
      </c>
      <c r="G18" s="43">
        <f t="shared" si="0"/>
        <v>0</v>
      </c>
      <c r="H18" s="70">
        <v>168480936.46000001</v>
      </c>
      <c r="I18" s="51">
        <v>-13672830.41</v>
      </c>
      <c r="J18" s="39">
        <f t="shared" si="1"/>
        <v>1</v>
      </c>
      <c r="K18" s="48">
        <f t="shared" si="5"/>
        <v>-1953261.4871428572</v>
      </c>
      <c r="L18" s="41">
        <f t="shared" si="4"/>
        <v>-86.256211761204753</v>
      </c>
      <c r="M18" s="43">
        <f t="shared" si="3"/>
        <v>0</v>
      </c>
      <c r="N18" s="84">
        <f t="shared" si="2"/>
        <v>1</v>
      </c>
      <c r="O18" s="42">
        <f>'มี.ค.67'!N18</f>
        <v>1</v>
      </c>
      <c r="P18" s="51">
        <v>-9316322.8000000007</v>
      </c>
      <c r="Q18" s="70">
        <v>125512292.06999999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39">
        <v>1.1499999999999999</v>
      </c>
      <c r="E19" s="116">
        <v>0.9</v>
      </c>
      <c r="F19" s="116">
        <v>0.4</v>
      </c>
      <c r="G19" s="39">
        <f t="shared" si="0"/>
        <v>3</v>
      </c>
      <c r="H19" s="70">
        <v>1370859.52</v>
      </c>
      <c r="I19" s="51">
        <v>-3989519.87</v>
      </c>
      <c r="J19" s="39">
        <f t="shared" si="1"/>
        <v>1</v>
      </c>
      <c r="K19" s="48">
        <f t="shared" si="5"/>
        <v>-569931.41</v>
      </c>
      <c r="L19" s="41">
        <f t="shared" si="4"/>
        <v>-2.4053061402599303</v>
      </c>
      <c r="M19" s="43">
        <f t="shared" si="3"/>
        <v>2</v>
      </c>
      <c r="N19" s="121">
        <f t="shared" si="2"/>
        <v>6</v>
      </c>
      <c r="O19" s="42">
        <f>'มี.ค.67'!N19</f>
        <v>3</v>
      </c>
      <c r="P19" s="51">
        <v>-1584230.34</v>
      </c>
      <c r="Q19" s="51">
        <v>-5664907.3399999999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39">
        <v>1.41</v>
      </c>
      <c r="E20" s="69">
        <v>1.27</v>
      </c>
      <c r="F20" s="39">
        <v>0.73</v>
      </c>
      <c r="G20" s="39">
        <f t="shared" si="0"/>
        <v>2</v>
      </c>
      <c r="H20" s="70">
        <v>3460870.18</v>
      </c>
      <c r="I20" s="51">
        <v>-3930700.49</v>
      </c>
      <c r="J20" s="39">
        <f t="shared" si="1"/>
        <v>1</v>
      </c>
      <c r="K20" s="48">
        <f>SUM(I20/7)</f>
        <v>-561528.64142857143</v>
      </c>
      <c r="L20" s="41">
        <f t="shared" si="4"/>
        <v>-6.1633012542250452</v>
      </c>
      <c r="M20" s="43">
        <f t="shared" si="3"/>
        <v>0</v>
      </c>
      <c r="N20" s="122">
        <f t="shared" si="2"/>
        <v>3</v>
      </c>
      <c r="O20" s="42">
        <f>'มี.ค.67'!N20</f>
        <v>5</v>
      </c>
      <c r="P20" s="51">
        <v>-1745814.12</v>
      </c>
      <c r="Q20" s="51">
        <v>-2296534.3199999998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85">
        <f>SUM(H5:H20)</f>
        <v>1459836521.0000002</v>
      </c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86">
        <f>SUM(Q5:Q20)</f>
        <v>617598452.1099999</v>
      </c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40" t="s">
        <v>5</v>
      </c>
      <c r="M23" s="140"/>
      <c r="N23" s="140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40"/>
      <c r="M24" s="140"/>
      <c r="N24" s="140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40" t="s">
        <v>5</v>
      </c>
      <c r="M25" s="140"/>
      <c r="N25" s="140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40"/>
      <c r="M26" s="140"/>
      <c r="N26" s="140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41" t="s">
        <v>5</v>
      </c>
      <c r="L27" s="141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40" t="s">
        <v>5</v>
      </c>
      <c r="M30" s="140"/>
      <c r="N30" s="140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40"/>
      <c r="M31" s="140"/>
      <c r="N31" s="140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9 N11:N18">
    <cfRule type="cellIs" dxfId="26" priority="1" operator="greaterThan">
      <formula>0</formula>
    </cfRule>
  </conditionalFormatting>
  <conditionalFormatting sqref="O5:O20">
    <cfRule type="colorScale" priority="2">
      <colorScale>
        <cfvo type="min"/>
        <cfvo type="max"/>
        <color rgb="FFFCFCFF"/>
        <color rgb="FFF8696B"/>
      </colorScale>
    </cfRule>
    <cfRule type="colorScale" priority="4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3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K14" sqref="K14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3.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4" t="s">
        <v>105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P1" s="54" t="s">
        <v>53</v>
      </c>
      <c r="Q1" s="53">
        <v>243781</v>
      </c>
    </row>
    <row r="2" spans="1:25" ht="54.75" customHeight="1" thickBot="1" x14ac:dyDescent="0.3">
      <c r="C2" s="125" t="s">
        <v>41</v>
      </c>
      <c r="D2" s="126" t="s">
        <v>40</v>
      </c>
      <c r="E2" s="126"/>
      <c r="F2" s="126"/>
      <c r="G2" s="126"/>
      <c r="H2" s="127" t="s">
        <v>39</v>
      </c>
      <c r="I2" s="127"/>
      <c r="J2" s="127"/>
      <c r="K2" s="128" t="s">
        <v>38</v>
      </c>
      <c r="L2" s="128"/>
      <c r="M2" s="128"/>
      <c r="N2" s="162" t="s">
        <v>106</v>
      </c>
      <c r="O2" s="149" t="s">
        <v>107</v>
      </c>
      <c r="P2" s="149" t="s">
        <v>56</v>
      </c>
      <c r="Q2" s="133" t="s">
        <v>60</v>
      </c>
    </row>
    <row r="3" spans="1:25" ht="38.25" customHeight="1" thickBot="1" x14ac:dyDescent="0.3">
      <c r="C3" s="125"/>
      <c r="D3" s="134" t="s">
        <v>36</v>
      </c>
      <c r="E3" s="134" t="s">
        <v>35</v>
      </c>
      <c r="F3" s="134" t="s">
        <v>34</v>
      </c>
      <c r="G3" s="135" t="s">
        <v>29</v>
      </c>
      <c r="H3" s="136" t="s">
        <v>33</v>
      </c>
      <c r="I3" s="125" t="s">
        <v>32</v>
      </c>
      <c r="J3" s="137" t="s">
        <v>29</v>
      </c>
      <c r="K3" s="138" t="s">
        <v>31</v>
      </c>
      <c r="L3" s="125" t="s">
        <v>30</v>
      </c>
      <c r="M3" s="144" t="s">
        <v>29</v>
      </c>
      <c r="N3" s="162"/>
      <c r="O3" s="149"/>
      <c r="P3" s="149"/>
      <c r="Q3" s="133"/>
    </row>
    <row r="4" spans="1:25" ht="36.75" customHeight="1" thickBot="1" x14ac:dyDescent="0.3">
      <c r="C4" s="125"/>
      <c r="D4" s="134"/>
      <c r="E4" s="134"/>
      <c r="F4" s="134"/>
      <c r="G4" s="135"/>
      <c r="H4" s="136"/>
      <c r="I4" s="125"/>
      <c r="J4" s="137"/>
      <c r="K4" s="138"/>
      <c r="L4" s="125"/>
      <c r="M4" s="144"/>
      <c r="N4" s="162"/>
      <c r="O4" s="149"/>
      <c r="P4" s="149"/>
      <c r="Q4" s="133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71">
        <v>2.46</v>
      </c>
      <c r="E5" s="71">
        <v>2.27</v>
      </c>
      <c r="F5" s="71">
        <v>0.78</v>
      </c>
      <c r="G5" s="43">
        <f t="shared" ref="G5:G20" si="0">(IF(D5&lt;1.5,1,0))+(IF(E5&lt;1,1,0))+(IF(F5&lt;0.8,1,0))</f>
        <v>1</v>
      </c>
      <c r="H5" s="70">
        <v>443656605.87</v>
      </c>
      <c r="I5" s="70">
        <v>113288344.93000001</v>
      </c>
      <c r="J5" s="39">
        <f t="shared" ref="J5:J20" si="1">IF(I5&lt;0,1,0)+IF(H5&lt;0,1,0)</f>
        <v>0</v>
      </c>
      <c r="K5" s="45">
        <f>SUM(I5/8)</f>
        <v>14161043.116250001</v>
      </c>
      <c r="L5" s="41">
        <f>+H5/K5</f>
        <v>31.329373283306911</v>
      </c>
      <c r="M5" s="40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87">
        <f t="shared" ref="N5:N20" si="2">SUM(G5+J5+M5)</f>
        <v>1</v>
      </c>
      <c r="O5" s="87">
        <f>'เม.ย.67'!N5</f>
        <v>1</v>
      </c>
      <c r="P5" s="55">
        <v>188329642.34</v>
      </c>
      <c r="Q5" s="70">
        <v>-65250873.369999997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71">
        <v>2.7</v>
      </c>
      <c r="E6" s="71">
        <v>2.56</v>
      </c>
      <c r="F6" s="71">
        <v>1.26</v>
      </c>
      <c r="G6" s="43">
        <f t="shared" si="0"/>
        <v>0</v>
      </c>
      <c r="H6" s="70">
        <v>185309448.06</v>
      </c>
      <c r="I6" s="70">
        <v>41481456.789999999</v>
      </c>
      <c r="J6" s="43">
        <f>IF(I6&lt;0,1,0)+IF(H6&lt;0,1,0)</f>
        <v>0</v>
      </c>
      <c r="K6" s="45">
        <f t="shared" ref="K6:K20" si="3">SUM(I6/8)</f>
        <v>5185182.0987499999</v>
      </c>
      <c r="L6" s="41">
        <f>+H6/K6</f>
        <v>35.738271970173017</v>
      </c>
      <c r="M6" s="43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87">
        <f>SUM(G6+J6+M6)</f>
        <v>0</v>
      </c>
      <c r="O6" s="87">
        <f>'เม.ย.67'!N6</f>
        <v>0</v>
      </c>
      <c r="P6" s="55">
        <v>53285265.460000001</v>
      </c>
      <c r="Q6" s="70">
        <v>28417991.050000001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71">
        <v>2.98</v>
      </c>
      <c r="E7" s="71">
        <v>2.83</v>
      </c>
      <c r="F7" s="71">
        <v>2.44</v>
      </c>
      <c r="G7" s="43">
        <f t="shared" si="0"/>
        <v>0</v>
      </c>
      <c r="H7" s="70">
        <v>50879059.420000002</v>
      </c>
      <c r="I7" s="70">
        <v>105684678.47</v>
      </c>
      <c r="J7" s="39">
        <f t="shared" si="1"/>
        <v>0</v>
      </c>
      <c r="K7" s="45">
        <f t="shared" si="3"/>
        <v>13210584.80875</v>
      </c>
      <c r="L7" s="41">
        <f t="shared" ref="L7:L20" si="5">+H7/K7</f>
        <v>3.8513858513137418</v>
      </c>
      <c r="M7" s="40">
        <f t="shared" si="4"/>
        <v>0</v>
      </c>
      <c r="N7" s="87">
        <f t="shared" si="2"/>
        <v>0</v>
      </c>
      <c r="O7" s="87">
        <f>'เม.ย.67'!N7</f>
        <v>0</v>
      </c>
      <c r="P7" s="55">
        <v>88597449.189999998</v>
      </c>
      <c r="Q7" s="70">
        <v>37093623.869999997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71">
        <v>13.43</v>
      </c>
      <c r="E8" s="71">
        <v>13.18</v>
      </c>
      <c r="F8" s="71">
        <v>12.52</v>
      </c>
      <c r="G8" s="43">
        <f t="shared" si="0"/>
        <v>0</v>
      </c>
      <c r="H8" s="70">
        <v>128197179.31999999</v>
      </c>
      <c r="I8" s="70">
        <v>-16545363.300000001</v>
      </c>
      <c r="J8" s="39">
        <f t="shared" si="1"/>
        <v>1</v>
      </c>
      <c r="K8" s="45">
        <f t="shared" si="3"/>
        <v>-2068170.4125000001</v>
      </c>
      <c r="L8" s="41">
        <f t="shared" si="5"/>
        <v>-61.985791182959389</v>
      </c>
      <c r="M8" s="40">
        <f t="shared" si="4"/>
        <v>0</v>
      </c>
      <c r="N8" s="87">
        <f t="shared" si="2"/>
        <v>1</v>
      </c>
      <c r="O8" s="87">
        <f>'เม.ย.67'!N8</f>
        <v>1</v>
      </c>
      <c r="P8" s="55">
        <v>-13023941.48</v>
      </c>
      <c r="Q8" s="70">
        <v>118749257.97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71">
        <v>2.97</v>
      </c>
      <c r="E9" s="71">
        <v>2.6</v>
      </c>
      <c r="F9" s="71">
        <v>1.46</v>
      </c>
      <c r="G9" s="43">
        <f t="shared" si="0"/>
        <v>0</v>
      </c>
      <c r="H9" s="70">
        <v>27124391.699999999</v>
      </c>
      <c r="I9" s="70">
        <v>-8049144.6299999999</v>
      </c>
      <c r="J9" s="39">
        <f t="shared" si="1"/>
        <v>1</v>
      </c>
      <c r="K9" s="45">
        <f t="shared" si="3"/>
        <v>-1006143.07875</v>
      </c>
      <c r="L9" s="41">
        <f t="shared" si="5"/>
        <v>-26.958781780518212</v>
      </c>
      <c r="M9" s="40">
        <f t="shared" si="4"/>
        <v>0</v>
      </c>
      <c r="N9" s="87">
        <f t="shared" si="2"/>
        <v>1</v>
      </c>
      <c r="O9" s="87">
        <f>'เม.ย.67'!N9</f>
        <v>1</v>
      </c>
      <c r="P9" s="55">
        <v>-2265823.2999999998</v>
      </c>
      <c r="Q9" s="70">
        <v>6375770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116">
        <v>0.96</v>
      </c>
      <c r="E10" s="116">
        <v>0.85</v>
      </c>
      <c r="F10" s="116">
        <v>0.64</v>
      </c>
      <c r="G10" s="39">
        <f t="shared" si="0"/>
        <v>3</v>
      </c>
      <c r="H10" s="70">
        <v>-673760.45</v>
      </c>
      <c r="I10" s="70">
        <v>-9352616.1799999997</v>
      </c>
      <c r="J10" s="39">
        <f t="shared" si="1"/>
        <v>2</v>
      </c>
      <c r="K10" s="45">
        <f t="shared" si="3"/>
        <v>-1169077.0225</v>
      </c>
      <c r="L10" s="41">
        <f t="shared" si="5"/>
        <v>0.57631827247720968</v>
      </c>
      <c r="M10" s="40">
        <f t="shared" si="4"/>
        <v>2</v>
      </c>
      <c r="N10" s="121">
        <f t="shared" si="2"/>
        <v>7</v>
      </c>
      <c r="O10" s="87">
        <f>'เม.ย.67'!N10</f>
        <v>6</v>
      </c>
      <c r="P10" s="55">
        <v>-8747417.6500000004</v>
      </c>
      <c r="Q10" s="70">
        <v>-5530507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71">
        <v>3.74</v>
      </c>
      <c r="E11" s="71">
        <v>3.58</v>
      </c>
      <c r="F11" s="71">
        <v>3.14</v>
      </c>
      <c r="G11" s="43">
        <f t="shared" si="0"/>
        <v>0</v>
      </c>
      <c r="H11" s="70">
        <v>208252390.5</v>
      </c>
      <c r="I11" s="70">
        <v>-42136412.229999997</v>
      </c>
      <c r="J11" s="39">
        <f t="shared" si="1"/>
        <v>1</v>
      </c>
      <c r="K11" s="45">
        <f t="shared" si="3"/>
        <v>-5267051.5287499996</v>
      </c>
      <c r="L11" s="41">
        <f t="shared" si="5"/>
        <v>-39.538703839000299</v>
      </c>
      <c r="M11" s="40">
        <f t="shared" si="4"/>
        <v>0</v>
      </c>
      <c r="N11" s="87">
        <f t="shared" si="2"/>
        <v>1</v>
      </c>
      <c r="O11" s="87">
        <f>'เม.ย.67'!N11</f>
        <v>1</v>
      </c>
      <c r="P11" s="55">
        <v>-33687109.159999996</v>
      </c>
      <c r="Q11" s="70">
        <v>160797411.72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71">
        <v>1.68</v>
      </c>
      <c r="E12" s="71">
        <v>1.39</v>
      </c>
      <c r="F12" s="71">
        <v>0.9</v>
      </c>
      <c r="G12" s="43">
        <f t="shared" si="0"/>
        <v>0</v>
      </c>
      <c r="H12" s="70">
        <v>12477058.060000001</v>
      </c>
      <c r="I12" s="70">
        <v>-14346424.119999999</v>
      </c>
      <c r="J12" s="39">
        <f t="shared" si="1"/>
        <v>1</v>
      </c>
      <c r="K12" s="45">
        <f t="shared" si="3"/>
        <v>-1793303.0149999999</v>
      </c>
      <c r="L12" s="41">
        <f t="shared" si="5"/>
        <v>-6.9575849455648191</v>
      </c>
      <c r="M12" s="40">
        <f t="shared" si="4"/>
        <v>0</v>
      </c>
      <c r="N12" s="87">
        <f t="shared" si="2"/>
        <v>1</v>
      </c>
      <c r="O12" s="87">
        <f>'เม.ย.67'!N12</f>
        <v>1</v>
      </c>
      <c r="P12" s="55">
        <v>-11482222.68</v>
      </c>
      <c r="Q12" s="70">
        <v>-1751025.69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71">
        <v>5.1100000000000003</v>
      </c>
      <c r="E13" s="71">
        <v>4.8600000000000003</v>
      </c>
      <c r="F13" s="71">
        <v>4.42</v>
      </c>
      <c r="G13" s="43">
        <f t="shared" si="0"/>
        <v>0</v>
      </c>
      <c r="H13" s="70">
        <v>48871943.280000001</v>
      </c>
      <c r="I13" s="70">
        <v>-18270561.02</v>
      </c>
      <c r="J13" s="39">
        <f t="shared" si="1"/>
        <v>1</v>
      </c>
      <c r="K13" s="45">
        <f t="shared" si="3"/>
        <v>-2283820.1274999999</v>
      </c>
      <c r="L13" s="41">
        <f t="shared" si="5"/>
        <v>-21.399208585440579</v>
      </c>
      <c r="M13" s="40">
        <f t="shared" si="4"/>
        <v>0</v>
      </c>
      <c r="N13" s="87">
        <f t="shared" si="2"/>
        <v>1</v>
      </c>
      <c r="O13" s="87">
        <f>'เม.ย.67'!N13</f>
        <v>1</v>
      </c>
      <c r="P13" s="55">
        <v>-14826778.1</v>
      </c>
      <c r="Q13" s="70">
        <v>40538981.549999997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71">
        <v>4.67</v>
      </c>
      <c r="E14" s="71">
        <v>4.37</v>
      </c>
      <c r="F14" s="71">
        <v>3.48</v>
      </c>
      <c r="G14" s="43">
        <f t="shared" si="0"/>
        <v>0</v>
      </c>
      <c r="H14" s="70">
        <v>48430720.369999997</v>
      </c>
      <c r="I14" s="70">
        <v>-7607560.46</v>
      </c>
      <c r="J14" s="43">
        <f t="shared" si="1"/>
        <v>1</v>
      </c>
      <c r="K14" s="45">
        <f t="shared" si="3"/>
        <v>-950945.0575</v>
      </c>
      <c r="L14" s="41">
        <f t="shared" si="5"/>
        <v>-50.929041576095472</v>
      </c>
      <c r="M14" s="40">
        <f t="shared" si="4"/>
        <v>0</v>
      </c>
      <c r="N14" s="87">
        <f t="shared" si="2"/>
        <v>1</v>
      </c>
      <c r="O14" s="87">
        <f>'เม.ย.67'!N14</f>
        <v>1</v>
      </c>
      <c r="P14" s="55">
        <v>-6514169.1699999999</v>
      </c>
      <c r="Q14" s="70">
        <v>32662355.600000001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71">
        <v>5.0199999999999996</v>
      </c>
      <c r="E15" s="71">
        <v>4.5599999999999996</v>
      </c>
      <c r="F15" s="71">
        <v>3.71</v>
      </c>
      <c r="G15" s="43">
        <f t="shared" si="0"/>
        <v>0</v>
      </c>
      <c r="H15" s="70">
        <v>42776758.600000001</v>
      </c>
      <c r="I15" s="70">
        <v>-14496313.279999999</v>
      </c>
      <c r="J15" s="39">
        <f t="shared" si="1"/>
        <v>1</v>
      </c>
      <c r="K15" s="45">
        <f t="shared" si="3"/>
        <v>-1812039.16</v>
      </c>
      <c r="L15" s="41">
        <f t="shared" si="5"/>
        <v>-23.606972489490794</v>
      </c>
      <c r="M15" s="40">
        <f t="shared" si="4"/>
        <v>0</v>
      </c>
      <c r="N15" s="87">
        <f t="shared" si="2"/>
        <v>1</v>
      </c>
      <c r="O15" s="87">
        <f>'เม.ย.67'!N15</f>
        <v>1</v>
      </c>
      <c r="P15" s="55">
        <v>-11691611.33</v>
      </c>
      <c r="Q15" s="70">
        <v>28819238.859999999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71">
        <v>5.38</v>
      </c>
      <c r="E16" s="71">
        <v>4.97</v>
      </c>
      <c r="F16" s="71">
        <v>4.04</v>
      </c>
      <c r="G16" s="43">
        <f t="shared" si="0"/>
        <v>0</v>
      </c>
      <c r="H16" s="70">
        <v>92600647.040000007</v>
      </c>
      <c r="I16" s="70">
        <v>-26574822.32</v>
      </c>
      <c r="J16" s="39">
        <f t="shared" si="1"/>
        <v>1</v>
      </c>
      <c r="K16" s="45">
        <f t="shared" si="3"/>
        <v>-3321852.79</v>
      </c>
      <c r="L16" s="41">
        <f t="shared" si="5"/>
        <v>-27.876204303442357</v>
      </c>
      <c r="M16" s="40">
        <f t="shared" si="4"/>
        <v>0</v>
      </c>
      <c r="N16" s="87">
        <f t="shared" si="2"/>
        <v>1</v>
      </c>
      <c r="O16" s="87">
        <f>'เม.ย.67'!N16</f>
        <v>1</v>
      </c>
      <c r="P16" s="55">
        <v>-12690038.789999999</v>
      </c>
      <c r="Q16" s="70">
        <v>64263513.289999999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71">
        <v>1.76</v>
      </c>
      <c r="E17" s="71">
        <v>1.56</v>
      </c>
      <c r="F17" s="71">
        <v>1.33</v>
      </c>
      <c r="G17" s="43">
        <f t="shared" si="0"/>
        <v>0</v>
      </c>
      <c r="H17" s="70">
        <v>7382587.5700000003</v>
      </c>
      <c r="I17" s="70">
        <v>-8240619.1900000004</v>
      </c>
      <c r="J17" s="39">
        <f t="shared" si="1"/>
        <v>1</v>
      </c>
      <c r="K17" s="45">
        <f t="shared" si="3"/>
        <v>-1030077.3987500001</v>
      </c>
      <c r="L17" s="41">
        <f t="shared" si="5"/>
        <v>-7.1670221858656227</v>
      </c>
      <c r="M17" s="40">
        <f t="shared" si="4"/>
        <v>0</v>
      </c>
      <c r="N17" s="87">
        <f t="shared" si="2"/>
        <v>1</v>
      </c>
      <c r="O17" s="87">
        <f>'เม.ย.67'!N17</f>
        <v>1</v>
      </c>
      <c r="P17" s="55">
        <v>-6865574.6200000001</v>
      </c>
      <c r="Q17" s="70">
        <v>3249515.07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71">
        <v>9.0299999999999994</v>
      </c>
      <c r="E18" s="71">
        <v>8.89</v>
      </c>
      <c r="F18" s="71">
        <v>6.84</v>
      </c>
      <c r="G18" s="43">
        <f t="shared" si="0"/>
        <v>0</v>
      </c>
      <c r="H18" s="70">
        <v>166237523.24000001</v>
      </c>
      <c r="I18" s="70">
        <v>-15313457.210000001</v>
      </c>
      <c r="J18" s="39">
        <f t="shared" si="1"/>
        <v>1</v>
      </c>
      <c r="K18" s="45">
        <f t="shared" si="3"/>
        <v>-1914182.1512500001</v>
      </c>
      <c r="L18" s="41">
        <f t="shared" si="5"/>
        <v>-86.84519554810575</v>
      </c>
      <c r="M18" s="40">
        <f t="shared" si="4"/>
        <v>0</v>
      </c>
      <c r="N18" s="87">
        <f t="shared" si="2"/>
        <v>1</v>
      </c>
      <c r="O18" s="87">
        <f>'เม.ย.67'!N18</f>
        <v>1</v>
      </c>
      <c r="P18" s="55">
        <v>-13043463.529999999</v>
      </c>
      <c r="Q18" s="70">
        <v>121003216.93000001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71">
        <v>1.1599999999999999</v>
      </c>
      <c r="E19" s="71">
        <v>0.9</v>
      </c>
      <c r="F19" s="71">
        <v>0.5</v>
      </c>
      <c r="G19" s="43">
        <f t="shared" si="0"/>
        <v>3</v>
      </c>
      <c r="H19" s="70">
        <v>1800483.72</v>
      </c>
      <c r="I19" s="70">
        <v>-3551597.69</v>
      </c>
      <c r="J19" s="39">
        <f t="shared" si="1"/>
        <v>1</v>
      </c>
      <c r="K19" s="45">
        <f t="shared" si="3"/>
        <v>-443949.71124999999</v>
      </c>
      <c r="L19" s="41">
        <f t="shared" si="5"/>
        <v>-4.0556028630596392</v>
      </c>
      <c r="M19" s="39">
        <f>IF(AND(I19&lt;0,H19&lt;0),2,IF(AND(I19&gt;0,H19&gt;0),0,IF(AND(H19&lt;0,I19&gt;0),IF(ABS((H19/(I19/8)))&lt;3,0,IF(ABS((H19/(I19/8)))&gt;6,2,1)),IF(AND(H19&gt;0,I19&lt;0),IF(ABS((H19/(I19/8)))&lt;3,2,IF(ABS((H19/(I19/8)))&gt;6,0,1))))))</f>
        <v>1</v>
      </c>
      <c r="N19" s="88">
        <f t="shared" si="2"/>
        <v>5</v>
      </c>
      <c r="O19" s="87">
        <f>'เม.ย.67'!N19</f>
        <v>6</v>
      </c>
      <c r="P19" s="55">
        <v>-2120140.94</v>
      </c>
      <c r="Q19" s="70">
        <v>-5539868.9000000004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71">
        <v>1.17</v>
      </c>
      <c r="E20" s="71">
        <v>1.02</v>
      </c>
      <c r="F20" s="71">
        <v>0.6</v>
      </c>
      <c r="G20" s="43">
        <f t="shared" si="0"/>
        <v>2</v>
      </c>
      <c r="H20" s="70">
        <v>1463928.69</v>
      </c>
      <c r="I20" s="70">
        <v>-4544272.58</v>
      </c>
      <c r="J20" s="39">
        <f t="shared" si="1"/>
        <v>1</v>
      </c>
      <c r="K20" s="45">
        <f t="shared" si="3"/>
        <v>-568034.07250000001</v>
      </c>
      <c r="L20" s="41">
        <f t="shared" si="5"/>
        <v>-2.5771846459087189</v>
      </c>
      <c r="M20" s="40">
        <f t="shared" si="4"/>
        <v>2</v>
      </c>
      <c r="N20" s="88">
        <f t="shared" si="2"/>
        <v>5</v>
      </c>
      <c r="O20" s="87">
        <f>'เม.ย.67'!N20</f>
        <v>3</v>
      </c>
      <c r="P20" s="55">
        <v>-3614954.34</v>
      </c>
      <c r="Q20" s="70">
        <v>-3446129.06</v>
      </c>
      <c r="S20" s="8"/>
      <c r="V20" s="9"/>
      <c r="W20" s="10"/>
      <c r="X20" s="10"/>
      <c r="Y20" s="9"/>
    </row>
    <row r="21" spans="1:25" ht="20.25" customHeight="1" x14ac:dyDescent="0.35">
      <c r="C21" s="11"/>
      <c r="D21" s="11"/>
      <c r="E21" s="11"/>
      <c r="F21" s="11"/>
      <c r="G21" s="11"/>
      <c r="H21" s="85">
        <f>SUM(H5:H20)</f>
        <v>1464786964.9899998</v>
      </c>
      <c r="I21" s="85">
        <f t="shared" ref="I21:Q21" si="6">SUM(I5:I20)</f>
        <v>71425315.979999974</v>
      </c>
      <c r="J21" s="85"/>
      <c r="K21" s="85"/>
      <c r="L21" s="85">
        <f t="shared" si="6"/>
        <v>-288.4019445681808</v>
      </c>
      <c r="M21" s="85"/>
      <c r="N21" s="85"/>
      <c r="O21" s="85"/>
      <c r="P21" s="85">
        <f t="shared" si="6"/>
        <v>189639111.89999998</v>
      </c>
      <c r="Q21" s="85">
        <f t="shared" si="6"/>
        <v>560452471.89000022</v>
      </c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40" t="s">
        <v>5</v>
      </c>
      <c r="M23" s="140"/>
      <c r="N23" s="140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40"/>
      <c r="M24" s="140"/>
      <c r="N24" s="140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40" t="s">
        <v>5</v>
      </c>
      <c r="M25" s="140"/>
      <c r="N25" s="140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40"/>
      <c r="M26" s="140"/>
      <c r="N26" s="140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41" t="s">
        <v>5</v>
      </c>
      <c r="L27" s="141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40" t="s">
        <v>5</v>
      </c>
      <c r="M30" s="140"/>
      <c r="N30" s="140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40"/>
      <c r="M31" s="140"/>
      <c r="N31" s="140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D5:D20">
    <cfRule type="cellIs" dxfId="25" priority="8" operator="lessThan">
      <formula>1.49</formula>
    </cfRule>
  </conditionalFormatting>
  <conditionalFormatting sqref="E5:E20">
    <cfRule type="cellIs" dxfId="24" priority="9" operator="lessThan">
      <formula>0.99</formula>
    </cfRule>
  </conditionalFormatting>
  <conditionalFormatting sqref="F5:F20">
    <cfRule type="cellIs" dxfId="23" priority="10" operator="lessThan">
      <formula>0.79</formula>
    </cfRule>
  </conditionalFormatting>
  <conditionalFormatting sqref="G5:G20">
    <cfRule type="cellIs" dxfId="22" priority="7" operator="greaterThan">
      <formula>0</formula>
    </cfRule>
  </conditionalFormatting>
  <conditionalFormatting sqref="N5">
    <cfRule type="cellIs" dxfId="21" priority="1" operator="greaterThan">
      <formula>0</formula>
    </cfRule>
  </conditionalFormatting>
  <conditionalFormatting sqref="N6:O9 O10 N11:O18 O19:O20">
    <cfRule type="cellIs" dxfId="20" priority="2" operator="greaterThan">
      <formula>0</formula>
    </cfRule>
  </conditionalFormatting>
  <conditionalFormatting sqref="O5">
    <cfRule type="cellIs" dxfId="19" priority="5" operator="greaterThan">
      <formula>1</formula>
    </cfRule>
    <cfRule type="cellIs" dxfId="18" priority="6" operator="greaterThan">
      <formula>0</formula>
    </cfRule>
  </conditionalFormatting>
  <conditionalFormatting sqref="O5:Q5 H5:I20 K5:L20 P6:Q20">
    <cfRule type="cellIs" dxfId="17" priority="11" operator="lessThan">
      <formula>0</formula>
    </cfRule>
    <cfRule type="cellIs" dxfId="16" priority="12" operator="lessThan">
      <formula>0</formula>
    </cfRule>
  </conditionalFormatting>
  <pageMargins left="0.3" right="0.18" top="0.74803149606299213" bottom="0.74803149606299213" header="0.31496062992125984" footer="0.31496062992125984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  <pageSetUpPr fitToPage="1"/>
  </sheetPr>
  <dimension ref="A1:AJ44"/>
  <sheetViews>
    <sheetView tabSelected="1"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M17" sqref="M17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4" t="s">
        <v>108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36" t="s">
        <v>53</v>
      </c>
      <c r="P1" s="52">
        <v>243814</v>
      </c>
      <c r="Q1" s="38"/>
    </row>
    <row r="2" spans="1:25" ht="54.75" customHeight="1" thickBot="1" x14ac:dyDescent="0.3">
      <c r="C2" s="125" t="s">
        <v>41</v>
      </c>
      <c r="D2" s="126" t="s">
        <v>40</v>
      </c>
      <c r="E2" s="126"/>
      <c r="F2" s="126"/>
      <c r="G2" s="126"/>
      <c r="H2" s="127" t="s">
        <v>39</v>
      </c>
      <c r="I2" s="127"/>
      <c r="J2" s="127"/>
      <c r="K2" s="128" t="s">
        <v>38</v>
      </c>
      <c r="L2" s="128"/>
      <c r="M2" s="128"/>
      <c r="N2" s="162" t="s">
        <v>58</v>
      </c>
      <c r="O2" s="149" t="s">
        <v>59</v>
      </c>
      <c r="P2" s="149" t="s">
        <v>56</v>
      </c>
      <c r="Q2" s="145" t="s">
        <v>57</v>
      </c>
    </row>
    <row r="3" spans="1:25" ht="38.25" customHeight="1" thickBot="1" x14ac:dyDescent="0.3">
      <c r="C3" s="125"/>
      <c r="D3" s="134" t="s">
        <v>36</v>
      </c>
      <c r="E3" s="134" t="s">
        <v>35</v>
      </c>
      <c r="F3" s="134" t="s">
        <v>34</v>
      </c>
      <c r="G3" s="135" t="s">
        <v>29</v>
      </c>
      <c r="H3" s="136" t="s">
        <v>33</v>
      </c>
      <c r="I3" s="125" t="s">
        <v>32</v>
      </c>
      <c r="J3" s="137" t="s">
        <v>29</v>
      </c>
      <c r="K3" s="138" t="s">
        <v>31</v>
      </c>
      <c r="L3" s="125" t="s">
        <v>30</v>
      </c>
      <c r="M3" s="144" t="s">
        <v>29</v>
      </c>
      <c r="N3" s="162"/>
      <c r="O3" s="149"/>
      <c r="P3" s="149"/>
      <c r="Q3" s="145"/>
    </row>
    <row r="4" spans="1:25" ht="36.75" customHeight="1" thickBot="1" x14ac:dyDescent="0.3">
      <c r="C4" s="125"/>
      <c r="D4" s="134"/>
      <c r="E4" s="134"/>
      <c r="F4" s="134"/>
      <c r="G4" s="135"/>
      <c r="H4" s="136"/>
      <c r="I4" s="125"/>
      <c r="J4" s="137"/>
      <c r="K4" s="138"/>
      <c r="L4" s="125"/>
      <c r="M4" s="144"/>
      <c r="N4" s="162"/>
      <c r="O4" s="149"/>
      <c r="P4" s="149"/>
      <c r="Q4" s="145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8" t="s">
        <v>28</v>
      </c>
      <c r="D5" s="74">
        <v>2.2799999999999998</v>
      </c>
      <c r="E5" s="74">
        <v>2.1</v>
      </c>
      <c r="F5" s="95">
        <v>0.7</v>
      </c>
      <c r="G5" s="91">
        <f t="shared" ref="G5:G20" si="0">(IF(D5&lt;1.5,1,0))+(IF(E5&lt;1,1,0))+(IF(F5&lt;0.8,1,0))</f>
        <v>1</v>
      </c>
      <c r="H5" s="73">
        <v>413883260.75</v>
      </c>
      <c r="I5" s="64">
        <v>73522338.480000004</v>
      </c>
      <c r="J5" s="59">
        <f t="shared" ref="J5:J20" si="1">IF(I5&lt;0,1,0)+IF(H5&lt;0,1,0)</f>
        <v>0</v>
      </c>
      <c r="K5" s="60">
        <f>SUM(I5/9)</f>
        <v>8169148.7200000007</v>
      </c>
      <c r="L5" s="61">
        <f>+H5/K5</f>
        <v>50.664184841771366</v>
      </c>
      <c r="M5" s="59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72">
        <f t="shared" ref="N5:N20" si="2">SUM(G5+J5+M5)</f>
        <v>1</v>
      </c>
      <c r="O5" s="62">
        <f>'พ.ค.67'!N5</f>
        <v>1</v>
      </c>
      <c r="P5" s="105">
        <v>158250566.28999999</v>
      </c>
      <c r="Q5" s="63">
        <v>-96078042.530000001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8" t="s">
        <v>27</v>
      </c>
      <c r="D6" s="74">
        <v>2.57</v>
      </c>
      <c r="E6" s="74">
        <v>2.46</v>
      </c>
      <c r="F6" s="74">
        <v>1.1599999999999999</v>
      </c>
      <c r="G6" s="59">
        <f t="shared" si="0"/>
        <v>0</v>
      </c>
      <c r="H6" s="73">
        <v>185653811.97</v>
      </c>
      <c r="I6" s="64">
        <v>38903379.560000002</v>
      </c>
      <c r="J6" s="59">
        <f>IF(I6&lt;0,1,0)+IF(H6&lt;0,1,0)</f>
        <v>0</v>
      </c>
      <c r="K6" s="60">
        <f t="shared" ref="K6:K20" si="3">SUM(I6/9)</f>
        <v>4322597.7288888888</v>
      </c>
      <c r="L6" s="61">
        <f>+H6/K6</f>
        <v>42.949592725049101</v>
      </c>
      <c r="M6" s="59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72">
        <f>SUM(G6+J6+M6)</f>
        <v>0</v>
      </c>
      <c r="O6" s="62">
        <f>'พ.ค.67'!N6</f>
        <v>0</v>
      </c>
      <c r="P6" s="105">
        <v>54726932.909999996</v>
      </c>
      <c r="Q6" s="73">
        <v>18955617.219999999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8" t="s">
        <v>26</v>
      </c>
      <c r="D7" s="74">
        <v>2.89</v>
      </c>
      <c r="E7" s="74">
        <v>2.76</v>
      </c>
      <c r="F7" s="74">
        <v>2.36</v>
      </c>
      <c r="G7" s="59">
        <f t="shared" si="0"/>
        <v>0</v>
      </c>
      <c r="H7" s="73">
        <v>47477238.859999999</v>
      </c>
      <c r="I7" s="64">
        <v>101295957.83</v>
      </c>
      <c r="J7" s="59">
        <f t="shared" si="1"/>
        <v>0</v>
      </c>
      <c r="K7" s="60">
        <f t="shared" si="3"/>
        <v>11255106.425555555</v>
      </c>
      <c r="L7" s="61">
        <f t="shared" ref="L7:L20" si="5">+H7/K7</f>
        <v>4.2182843115725142</v>
      </c>
      <c r="M7" s="59">
        <f t="shared" si="4"/>
        <v>0</v>
      </c>
      <c r="N7" s="72">
        <f t="shared" si="2"/>
        <v>0</v>
      </c>
      <c r="O7" s="62">
        <f>'พ.ค.67'!N7</f>
        <v>0</v>
      </c>
      <c r="P7" s="105">
        <v>85425448.629999995</v>
      </c>
      <c r="Q7" s="73">
        <v>34095575.649999999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8" t="s">
        <v>25</v>
      </c>
      <c r="D8" s="74">
        <v>12.83</v>
      </c>
      <c r="E8" s="74">
        <v>12.56</v>
      </c>
      <c r="F8" s="74">
        <v>11.84</v>
      </c>
      <c r="G8" s="59">
        <f t="shared" si="0"/>
        <v>0</v>
      </c>
      <c r="H8" s="73">
        <v>124312103.18000001</v>
      </c>
      <c r="I8" s="63">
        <v>-21762051.190000001</v>
      </c>
      <c r="J8" s="91">
        <f t="shared" si="1"/>
        <v>1</v>
      </c>
      <c r="K8" s="90">
        <f t="shared" si="3"/>
        <v>-2418005.6877777781</v>
      </c>
      <c r="L8" s="61">
        <f t="shared" si="5"/>
        <v>-51.411005279415477</v>
      </c>
      <c r="M8" s="59">
        <f t="shared" si="4"/>
        <v>0</v>
      </c>
      <c r="N8" s="72">
        <f t="shared" si="2"/>
        <v>1</v>
      </c>
      <c r="O8" s="62">
        <f>'พ.ค.67'!N8</f>
        <v>1</v>
      </c>
      <c r="P8" s="63">
        <v>-16715346.08</v>
      </c>
      <c r="Q8" s="73">
        <v>113947287.16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8" t="s">
        <v>24</v>
      </c>
      <c r="D9" s="74">
        <v>2.69</v>
      </c>
      <c r="E9" s="74">
        <v>2.34</v>
      </c>
      <c r="F9" s="74">
        <v>1.1499999999999999</v>
      </c>
      <c r="G9" s="59">
        <f t="shared" si="0"/>
        <v>0</v>
      </c>
      <c r="H9" s="73">
        <v>25162346.98</v>
      </c>
      <c r="I9" s="63">
        <v>-9394897.1099999994</v>
      </c>
      <c r="J9" s="91">
        <f t="shared" si="1"/>
        <v>1</v>
      </c>
      <c r="K9" s="90">
        <f t="shared" si="3"/>
        <v>-1043877.4566666665</v>
      </c>
      <c r="L9" s="61">
        <f t="shared" si="5"/>
        <v>-24.104694300372177</v>
      </c>
      <c r="M9" s="59">
        <f t="shared" si="4"/>
        <v>0</v>
      </c>
      <c r="N9" s="72">
        <f t="shared" si="2"/>
        <v>1</v>
      </c>
      <c r="O9" s="62">
        <f>'พ.ค.67'!N9</f>
        <v>1</v>
      </c>
      <c r="P9" s="63">
        <v>-4019562.4</v>
      </c>
      <c r="Q9" s="73">
        <v>2247329.42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8" t="s">
        <v>23</v>
      </c>
      <c r="D10" s="95">
        <v>0.81</v>
      </c>
      <c r="E10" s="95">
        <v>0.7</v>
      </c>
      <c r="F10" s="95">
        <v>0.48</v>
      </c>
      <c r="G10" s="91">
        <f t="shared" si="0"/>
        <v>3</v>
      </c>
      <c r="H10" s="63">
        <v>-3215074.73</v>
      </c>
      <c r="I10" s="63">
        <v>-12080231.1</v>
      </c>
      <c r="J10" s="91">
        <f t="shared" si="1"/>
        <v>2</v>
      </c>
      <c r="K10" s="90">
        <f t="shared" si="3"/>
        <v>-1342247.9</v>
      </c>
      <c r="L10" s="61">
        <f t="shared" si="5"/>
        <v>2.3952913094518533</v>
      </c>
      <c r="M10" s="91">
        <f t="shared" si="4"/>
        <v>2</v>
      </c>
      <c r="N10" s="171">
        <f t="shared" si="2"/>
        <v>7</v>
      </c>
      <c r="O10" s="171">
        <f>'พ.ค.67'!N10</f>
        <v>7</v>
      </c>
      <c r="P10" s="63">
        <v>-11234454.18</v>
      </c>
      <c r="Q10" s="63">
        <v>-8726629.8200000003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8" t="s">
        <v>22</v>
      </c>
      <c r="D11" s="74">
        <v>3.78</v>
      </c>
      <c r="E11" s="74">
        <v>3.61</v>
      </c>
      <c r="F11" s="74">
        <v>3.14</v>
      </c>
      <c r="G11" s="59">
        <f t="shared" si="0"/>
        <v>0</v>
      </c>
      <c r="H11" s="73">
        <v>200861603.56999999</v>
      </c>
      <c r="I11" s="63">
        <v>-54685329.479999997</v>
      </c>
      <c r="J11" s="91">
        <f t="shared" si="1"/>
        <v>1</v>
      </c>
      <c r="K11" s="90">
        <f t="shared" si="3"/>
        <v>-6076147.7199999997</v>
      </c>
      <c r="L11" s="61">
        <f t="shared" si="5"/>
        <v>-33.05739307634871</v>
      </c>
      <c r="M11" s="59">
        <f t="shared" si="4"/>
        <v>0</v>
      </c>
      <c r="N11" s="72">
        <f t="shared" si="2"/>
        <v>1</v>
      </c>
      <c r="O11" s="62">
        <f>'พ.ค.67'!N11</f>
        <v>1</v>
      </c>
      <c r="P11" s="63">
        <v>-44260972.170000002</v>
      </c>
      <c r="Q11" s="73">
        <v>152361939.31999999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8" t="s">
        <v>21</v>
      </c>
      <c r="D12" s="95">
        <v>1.41</v>
      </c>
      <c r="E12" s="74">
        <v>1.1599999999999999</v>
      </c>
      <c r="F12" s="95">
        <v>0.73</v>
      </c>
      <c r="G12" s="91">
        <f t="shared" si="0"/>
        <v>2</v>
      </c>
      <c r="H12" s="73">
        <v>8199236.9000000004</v>
      </c>
      <c r="I12" s="63">
        <v>-19250595.420000002</v>
      </c>
      <c r="J12" s="91">
        <f t="shared" si="1"/>
        <v>1</v>
      </c>
      <c r="K12" s="90">
        <f t="shared" si="3"/>
        <v>-2138955.0466666669</v>
      </c>
      <c r="L12" s="61">
        <f t="shared" si="5"/>
        <v>-3.8332908925681424</v>
      </c>
      <c r="M12" s="91">
        <f t="shared" si="4"/>
        <v>1</v>
      </c>
      <c r="N12" s="96">
        <f t="shared" si="2"/>
        <v>4</v>
      </c>
      <c r="O12" s="62">
        <f>'พ.ค.67'!N12</f>
        <v>1</v>
      </c>
      <c r="P12" s="63">
        <v>-15762602.41</v>
      </c>
      <c r="Q12" s="63">
        <v>-5434193.5899999999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8" t="s">
        <v>20</v>
      </c>
      <c r="D13" s="74">
        <v>4.6399999999999997</v>
      </c>
      <c r="E13" s="74">
        <v>4.41</v>
      </c>
      <c r="F13" s="74">
        <v>3.9</v>
      </c>
      <c r="G13" s="59">
        <f t="shared" si="0"/>
        <v>0</v>
      </c>
      <c r="H13" s="73">
        <v>45767558.280000001</v>
      </c>
      <c r="I13" s="63">
        <v>-21942359.649999999</v>
      </c>
      <c r="J13" s="91">
        <f t="shared" si="1"/>
        <v>1</v>
      </c>
      <c r="K13" s="90">
        <f t="shared" si="3"/>
        <v>-2438039.9611111111</v>
      </c>
      <c r="L13" s="61">
        <f t="shared" si="5"/>
        <v>-18.772275684579803</v>
      </c>
      <c r="M13" s="59">
        <f t="shared" si="4"/>
        <v>0</v>
      </c>
      <c r="N13" s="72">
        <f t="shared" si="2"/>
        <v>1</v>
      </c>
      <c r="O13" s="62">
        <f>'พ.ค.67'!N13</f>
        <v>1</v>
      </c>
      <c r="P13" s="63">
        <v>-17926505.789999999</v>
      </c>
      <c r="Q13" s="73">
        <v>36471345.119999997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8" t="s">
        <v>19</v>
      </c>
      <c r="D14" s="74">
        <v>4.5199999999999996</v>
      </c>
      <c r="E14" s="74">
        <v>4.16</v>
      </c>
      <c r="F14" s="74">
        <v>3.14</v>
      </c>
      <c r="G14" s="59">
        <f t="shared" si="0"/>
        <v>0</v>
      </c>
      <c r="H14" s="73">
        <v>41325011.93</v>
      </c>
      <c r="I14" s="63">
        <v>-13663827.02</v>
      </c>
      <c r="J14" s="91">
        <f t="shared" si="1"/>
        <v>1</v>
      </c>
      <c r="K14" s="90">
        <f t="shared" si="3"/>
        <v>-1518203.0022222223</v>
      </c>
      <c r="L14" s="61">
        <f t="shared" si="5"/>
        <v>-27.219687926787</v>
      </c>
      <c r="M14" s="59">
        <f t="shared" si="4"/>
        <v>0</v>
      </c>
      <c r="N14" s="72">
        <f t="shared" si="2"/>
        <v>1</v>
      </c>
      <c r="O14" s="62">
        <f>'พ.ค.67'!N14</f>
        <v>1</v>
      </c>
      <c r="P14" s="63">
        <v>-11324282.960000001</v>
      </c>
      <c r="Q14" s="73">
        <v>25128629.109999999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8" t="s">
        <v>18</v>
      </c>
      <c r="D15" s="74">
        <v>4.59</v>
      </c>
      <c r="E15" s="74">
        <v>4.1399999999999997</v>
      </c>
      <c r="F15" s="74">
        <v>3.23</v>
      </c>
      <c r="G15" s="59">
        <f t="shared" si="0"/>
        <v>0</v>
      </c>
      <c r="H15" s="73">
        <v>39889180.659999996</v>
      </c>
      <c r="I15" s="63">
        <v>-14655260.109999999</v>
      </c>
      <c r="J15" s="91">
        <f t="shared" si="1"/>
        <v>1</v>
      </c>
      <c r="K15" s="90">
        <f t="shared" si="3"/>
        <v>-1628362.2344444443</v>
      </c>
      <c r="L15" s="61">
        <f t="shared" si="5"/>
        <v>-24.496503183524869</v>
      </c>
      <c r="M15" s="59">
        <f t="shared" si="4"/>
        <v>0</v>
      </c>
      <c r="N15" s="72">
        <f t="shared" si="2"/>
        <v>1</v>
      </c>
      <c r="O15" s="62">
        <f>'พ.ค.67'!N15</f>
        <v>1</v>
      </c>
      <c r="P15" s="63">
        <v>-14574087.91</v>
      </c>
      <c r="Q15" s="73">
        <v>24805394.879999999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8" t="s">
        <v>17</v>
      </c>
      <c r="D16" s="74">
        <v>5.58</v>
      </c>
      <c r="E16" s="74">
        <v>5.12</v>
      </c>
      <c r="F16" s="74">
        <v>3.96</v>
      </c>
      <c r="G16" s="59">
        <f t="shared" si="0"/>
        <v>0</v>
      </c>
      <c r="H16" s="73">
        <v>90005457</v>
      </c>
      <c r="I16" s="63">
        <v>-27580792.18</v>
      </c>
      <c r="J16" s="91">
        <f t="shared" si="1"/>
        <v>1</v>
      </c>
      <c r="K16" s="90">
        <f t="shared" si="3"/>
        <v>-3064532.4644444445</v>
      </c>
      <c r="L16" s="61">
        <f t="shared" si="5"/>
        <v>-29.370045200782915</v>
      </c>
      <c r="M16" s="59">
        <f t="shared" si="4"/>
        <v>0</v>
      </c>
      <c r="N16" s="72">
        <f t="shared" si="2"/>
        <v>1</v>
      </c>
      <c r="O16" s="62">
        <f>'พ.ค.67'!N16</f>
        <v>1</v>
      </c>
      <c r="P16" s="63">
        <v>-11353400.23</v>
      </c>
      <c r="Q16" s="73">
        <v>58265370.590000004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8" t="s">
        <v>16</v>
      </c>
      <c r="D17" s="74">
        <v>1.57</v>
      </c>
      <c r="E17" s="74">
        <v>1.37</v>
      </c>
      <c r="F17" s="74">
        <v>1.1200000000000001</v>
      </c>
      <c r="G17" s="59">
        <f t="shared" si="0"/>
        <v>0</v>
      </c>
      <c r="H17" s="73">
        <v>5377320.5099999998</v>
      </c>
      <c r="I17" s="63">
        <v>-10120959.41</v>
      </c>
      <c r="J17" s="91">
        <f t="shared" si="1"/>
        <v>1</v>
      </c>
      <c r="K17" s="90">
        <f t="shared" si="3"/>
        <v>-1124551.0455555555</v>
      </c>
      <c r="L17" s="61">
        <f t="shared" si="5"/>
        <v>-4.7817487087422279</v>
      </c>
      <c r="M17" s="91">
        <f t="shared" si="4"/>
        <v>1</v>
      </c>
      <c r="N17" s="96">
        <f t="shared" si="2"/>
        <v>2</v>
      </c>
      <c r="O17" s="62">
        <f>'พ.ค.67'!N17</f>
        <v>1</v>
      </c>
      <c r="P17" s="63">
        <v>-8429526.6799999997</v>
      </c>
      <c r="Q17" s="73">
        <v>1098595.1000000001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8" t="s">
        <v>15</v>
      </c>
      <c r="D18" s="74">
        <v>10.69</v>
      </c>
      <c r="E18" s="74">
        <v>10.45</v>
      </c>
      <c r="F18" s="74">
        <v>7.83</v>
      </c>
      <c r="G18" s="59">
        <f t="shared" si="0"/>
        <v>0</v>
      </c>
      <c r="H18" s="73">
        <v>159534489.53</v>
      </c>
      <c r="I18" s="63">
        <v>-18063132.390000001</v>
      </c>
      <c r="J18" s="91">
        <f t="shared" si="1"/>
        <v>1</v>
      </c>
      <c r="K18" s="90">
        <f t="shared" si="3"/>
        <v>-2007014.71</v>
      </c>
      <c r="L18" s="61">
        <f t="shared" si="5"/>
        <v>-79.488450550519389</v>
      </c>
      <c r="M18" s="59">
        <f t="shared" si="4"/>
        <v>0</v>
      </c>
      <c r="N18" s="72">
        <f t="shared" si="2"/>
        <v>1</v>
      </c>
      <c r="O18" s="62">
        <f>'พ.ค.67'!N18</f>
        <v>1</v>
      </c>
      <c r="P18" s="63">
        <v>-15179120.640000001</v>
      </c>
      <c r="Q18" s="73">
        <v>112549299.83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8" t="s">
        <v>14</v>
      </c>
      <c r="D19" s="95">
        <v>1.1299999999999999</v>
      </c>
      <c r="E19" s="95">
        <v>0.87</v>
      </c>
      <c r="F19" s="95">
        <v>0.42</v>
      </c>
      <c r="G19" s="91">
        <f t="shared" si="0"/>
        <v>3</v>
      </c>
      <c r="H19" s="73">
        <v>1384368.78</v>
      </c>
      <c r="I19" s="63">
        <v>-3810014.4</v>
      </c>
      <c r="J19" s="91">
        <f t="shared" si="1"/>
        <v>1</v>
      </c>
      <c r="K19" s="90">
        <f t="shared" si="3"/>
        <v>-423334.93333333335</v>
      </c>
      <c r="L19" s="61">
        <f t="shared" si="5"/>
        <v>-3.2701501128184711</v>
      </c>
      <c r="M19" s="91">
        <f t="shared" si="4"/>
        <v>1</v>
      </c>
      <c r="N19" s="89">
        <f t="shared" si="2"/>
        <v>5</v>
      </c>
      <c r="O19" s="89">
        <f>'พ.ค.67'!N19</f>
        <v>5</v>
      </c>
      <c r="P19" s="63">
        <v>-2034944.86</v>
      </c>
      <c r="Q19" s="63">
        <v>-6318653.6500000004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8" t="s">
        <v>13</v>
      </c>
      <c r="D20" s="95">
        <v>1.1499999999999999</v>
      </c>
      <c r="E20" s="74">
        <v>1.01</v>
      </c>
      <c r="F20" s="95">
        <v>0.57999999999999996</v>
      </c>
      <c r="G20" s="91">
        <f t="shared" si="0"/>
        <v>2</v>
      </c>
      <c r="H20" s="73">
        <v>1382305.4</v>
      </c>
      <c r="I20" s="63">
        <v>-4741167.8899999997</v>
      </c>
      <c r="J20" s="91">
        <f t="shared" si="1"/>
        <v>1</v>
      </c>
      <c r="K20" s="90">
        <f t="shared" si="3"/>
        <v>-526796.43222222221</v>
      </c>
      <c r="L20" s="61">
        <f t="shared" si="5"/>
        <v>-2.6239839821407376</v>
      </c>
      <c r="M20" s="91">
        <f t="shared" si="4"/>
        <v>2</v>
      </c>
      <c r="N20" s="89">
        <f t="shared" si="2"/>
        <v>5</v>
      </c>
      <c r="O20" s="89">
        <f>'พ.ค.67'!N20</f>
        <v>5</v>
      </c>
      <c r="P20" s="63">
        <v>-3479831.06</v>
      </c>
      <c r="Q20" s="63">
        <v>-3842853.41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40" t="s">
        <v>5</v>
      </c>
      <c r="M23" s="140"/>
      <c r="N23" s="140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40"/>
      <c r="M24" s="140"/>
      <c r="N24" s="140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40" t="s">
        <v>5</v>
      </c>
      <c r="M25" s="140"/>
      <c r="N25" s="140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40"/>
      <c r="M26" s="140"/>
      <c r="N26" s="140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41" t="s">
        <v>5</v>
      </c>
      <c r="L27" s="141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40" t="s">
        <v>5</v>
      </c>
      <c r="M30" s="140"/>
      <c r="N30" s="140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40"/>
      <c r="M31" s="140"/>
      <c r="N31" s="140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O9 N11:O11 N13:O16 O12 N18:O18 O17">
    <cfRule type="cellIs" dxfId="15" priority="1" operator="greaterThan">
      <formula>0</formula>
    </cfRule>
    <cfRule type="cellIs" dxfId="14" priority="2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</vt:i4>
      </vt:variant>
    </vt:vector>
  </HeadingPairs>
  <TitlesOfParts>
    <vt:vector size="15" baseType="lpstr">
      <vt:lpstr>ต.ค.66</vt:lpstr>
      <vt:lpstr>พ.ย.66</vt:lpstr>
      <vt:lpstr>ธ.ค.66</vt:lpstr>
      <vt:lpstr>ม.ค.67</vt:lpstr>
      <vt:lpstr>ก.พ.67</vt:lpstr>
      <vt:lpstr>มี.ค.67</vt:lpstr>
      <vt:lpstr>เม.ย.67</vt:lpstr>
      <vt:lpstr>พ.ค.67</vt:lpstr>
      <vt:lpstr>มิ.ย.67</vt:lpstr>
      <vt:lpstr>ก.ค.67</vt:lpstr>
      <vt:lpstr>ส.ค.67</vt:lpstr>
      <vt:lpstr>ก.ย.67 </vt:lpstr>
      <vt:lpstr>Sheet2</vt:lpstr>
      <vt:lpstr>Sheet3</vt:lpstr>
      <vt:lpstr>พ.ค.67!Print_Area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insur01</cp:lastModifiedBy>
  <cp:lastPrinted>2024-06-12T07:18:20Z</cp:lastPrinted>
  <dcterms:created xsi:type="dcterms:W3CDTF">2017-12-26T02:45:48Z</dcterms:created>
  <dcterms:modified xsi:type="dcterms:W3CDTF">2024-07-16T03:54:47Z</dcterms:modified>
</cp:coreProperties>
</file>